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codeName="{3D1A710C-6663-3D7B-7F91-EC182F24A4BC}"/>
  <workbookPr codeName="ThisWorkbook"/>
  <mc:AlternateContent xmlns:mc="http://schemas.openxmlformats.org/markup-compatibility/2006">
    <mc:Choice Requires="x15">
      <x15ac:absPath xmlns:x15ac="http://schemas.microsoft.com/office/spreadsheetml/2010/11/ac" url="J:\WPD\REMEDIAL\VRPU\GPL Model - 2020 Update\2020 Model and RTC\"/>
    </mc:Choice>
  </mc:AlternateContent>
  <xr:revisionPtr revIDLastSave="0" documentId="13_ncr:1_{B03CBB6A-0A13-4727-A49E-0AB27A04863A}" xr6:coauthVersionLast="36" xr6:coauthVersionMax="36" xr10:uidLastSave="{00000000-0000-0000-0000-000000000000}"/>
  <workbookProtection workbookPassword="FD77" lockStructure="1"/>
  <bookViews>
    <workbookView xWindow="2724" yWindow="204" windowWidth="7428" windowHeight="8808" tabRatio="889" xr2:uid="{00000000-000D-0000-FFFF-FFFF00000000}"/>
  </bookViews>
  <sheets>
    <sheet name="Instructions" sheetId="12" r:id="rId1"/>
    <sheet name="Minimum GPL for VOCs" sheetId="16" r:id="rId2"/>
    <sheet name="Default GPL Metals" sheetId="17" r:id="rId3"/>
    <sheet name="Alt-GPL Calc for VOCs" sheetId="6" r:id="rId4"/>
    <sheet name="Alt-GPL Calc for Metals" sheetId="18" r:id="rId5"/>
    <sheet name="Soil Phase Partitioning Calc" sheetId="5" r:id="rId6"/>
    <sheet name="Lookup Table" sheetId="13" r:id="rId7"/>
    <sheet name="IntercalsJury1" sheetId="1" state="hidden" r:id="rId8"/>
    <sheet name="OutputJury1" sheetId="7" state="hidden" r:id="rId9"/>
    <sheet name="GPL" sheetId="2" state="hidden" r:id="rId10"/>
    <sheet name="IntercalcsJury2" sheetId="3" state="hidden" r:id="rId11"/>
    <sheet name="OutputJury 2" sheetId="8" state="hidden" r:id="rId12"/>
  </sheets>
  <definedNames>
    <definedName name="chemical">'Lookup Table'!#REF!</definedName>
    <definedName name="chemical2">'Lookup Table'!$A$9:$A$79</definedName>
    <definedName name="_xlnm.Print_Area" localSheetId="4">'Alt-GPL Calc for Metals'!$A$1:$O$31</definedName>
    <definedName name="_xlnm.Print_Area" localSheetId="3">'Alt-GPL Calc for VOCs'!$A$1:$AI$53</definedName>
    <definedName name="_xlnm.Print_Area" localSheetId="2">'Default GPL Metals'!$A$1:$C$16</definedName>
    <definedName name="_xlnm.Print_Area" localSheetId="9">GPL!$A$1:$J$98</definedName>
    <definedName name="_xlnm.Print_Area" localSheetId="0">Instructions!$A$1:$C$109</definedName>
    <definedName name="_xlnm.Print_Area" localSheetId="6">'Lookup Table'!$A$1:$J$110</definedName>
    <definedName name="_xlnm.Print_Area" localSheetId="1">'Minimum GPL for VOCs'!$A$1:$E$39</definedName>
    <definedName name="_xlnm.Print_Area" localSheetId="11">'OutputJury 2'!$A$1:$K$116</definedName>
    <definedName name="_xlnm.Print_Area" localSheetId="8">OutputJury1!$A$1:$K$117</definedName>
    <definedName name="soils2">'Lookup Table'!$B$99:$B$109</definedName>
  </definedNames>
  <calcPr calcId="191029" concurrentCalc="0"/>
</workbook>
</file>

<file path=xl/calcChain.xml><?xml version="1.0" encoding="utf-8"?>
<calcChain xmlns="http://schemas.openxmlformats.org/spreadsheetml/2006/main">
  <c r="I29" i="6" l="1"/>
  <c r="AC40" i="6"/>
  <c r="Q25" i="6"/>
  <c r="AC37" i="6"/>
  <c r="Q12" i="6"/>
  <c r="I27" i="6"/>
  <c r="AC38" i="6"/>
  <c r="U8" i="6"/>
  <c r="I28" i="6"/>
  <c r="AC39" i="6"/>
  <c r="Z8" i="6"/>
  <c r="AC36" i="6"/>
  <c r="AC11" i="6"/>
  <c r="I12" i="6"/>
  <c r="J12" i="6"/>
  <c r="I11" i="6"/>
  <c r="J11" i="6"/>
  <c r="I30" i="6"/>
  <c r="AD44" i="6"/>
  <c r="AD45" i="6"/>
  <c r="I24" i="6"/>
  <c r="AB44" i="6"/>
  <c r="D101" i="13"/>
  <c r="I16" i="6"/>
  <c r="AC44" i="6"/>
  <c r="I31" i="6"/>
  <c r="AB45" i="6"/>
  <c r="AC45" i="6"/>
  <c r="AF45" i="6"/>
  <c r="AF44" i="6"/>
  <c r="AE40" i="6"/>
  <c r="AE39" i="6"/>
  <c r="AE38" i="6"/>
  <c r="AE37" i="6"/>
  <c r="AE36" i="6"/>
  <c r="F17" i="2"/>
  <c r="F7" i="2"/>
  <c r="F23" i="2"/>
  <c r="F20" i="2"/>
  <c r="F57" i="2"/>
  <c r="F18" i="5"/>
  <c r="F23" i="5"/>
  <c r="F28" i="5"/>
  <c r="I13" i="6"/>
  <c r="M4" i="1"/>
  <c r="E101" i="13"/>
  <c r="I17" i="6"/>
  <c r="M10" i="1"/>
  <c r="M5" i="1"/>
  <c r="F101" i="13"/>
  <c r="I18" i="6"/>
  <c r="M15" i="1"/>
  <c r="M9" i="1"/>
  <c r="M19" i="1"/>
  <c r="I19" i="6"/>
  <c r="M11" i="1"/>
  <c r="B44" i="13"/>
  <c r="I9" i="6"/>
  <c r="M17" i="1"/>
  <c r="C44" i="13"/>
  <c r="I7" i="6"/>
  <c r="M7" i="1"/>
  <c r="M24" i="1"/>
  <c r="M25" i="1"/>
  <c r="I25" i="6"/>
  <c r="M14" i="1"/>
  <c r="I34" i="1"/>
  <c r="I35" i="1"/>
  <c r="M16" i="1"/>
  <c r="I36" i="1"/>
  <c r="I21" i="6"/>
  <c r="M12" i="1"/>
  <c r="I22" i="6"/>
  <c r="M13" i="1"/>
  <c r="S35" i="1"/>
  <c r="S36" i="1"/>
  <c r="I26" i="6"/>
  <c r="M18" i="1"/>
  <c r="I32" i="6"/>
  <c r="B116" i="1"/>
  <c r="B117" i="1"/>
  <c r="F117" i="1"/>
  <c r="I117" i="1"/>
  <c r="P117" i="1"/>
  <c r="I23" i="6"/>
  <c r="M21" i="1"/>
  <c r="C42" i="1"/>
  <c r="Q83" i="1"/>
  <c r="Q84" i="1"/>
  <c r="AB117" i="1"/>
  <c r="L117" i="1"/>
  <c r="N117" i="1"/>
  <c r="Q42" i="1"/>
  <c r="Q43" i="1"/>
  <c r="Q44" i="1"/>
  <c r="R117" i="1"/>
  <c r="U117" i="1"/>
  <c r="Y117" i="1"/>
  <c r="M6" i="1"/>
  <c r="D117" i="1"/>
  <c r="AF117" i="1"/>
  <c r="AJ117" i="1"/>
  <c r="M20" i="1"/>
  <c r="B118" i="1"/>
  <c r="F118" i="1"/>
  <c r="I118" i="1"/>
  <c r="P118" i="1"/>
  <c r="AB118" i="1"/>
  <c r="L118" i="1"/>
  <c r="N118" i="1"/>
  <c r="R118" i="1"/>
  <c r="U118" i="1"/>
  <c r="Y118" i="1"/>
  <c r="D118" i="1"/>
  <c r="AF118" i="1"/>
  <c r="AJ118" i="1"/>
  <c r="B119" i="1"/>
  <c r="F119" i="1"/>
  <c r="I119" i="1"/>
  <c r="P119" i="1"/>
  <c r="AB119" i="1"/>
  <c r="L119" i="1"/>
  <c r="N119" i="1"/>
  <c r="R119" i="1"/>
  <c r="U119" i="1"/>
  <c r="Y119" i="1"/>
  <c r="D119" i="1"/>
  <c r="AF119" i="1"/>
  <c r="AJ119" i="1"/>
  <c r="B120" i="1"/>
  <c r="F120" i="1"/>
  <c r="I120" i="1"/>
  <c r="P120" i="1"/>
  <c r="AB120" i="1"/>
  <c r="L120" i="1"/>
  <c r="N120" i="1"/>
  <c r="R120" i="1"/>
  <c r="U120" i="1"/>
  <c r="Y120" i="1"/>
  <c r="D120" i="1"/>
  <c r="AF120" i="1"/>
  <c r="AJ120" i="1"/>
  <c r="B121" i="1"/>
  <c r="F121" i="1"/>
  <c r="I121" i="1"/>
  <c r="P121" i="1"/>
  <c r="AB121" i="1"/>
  <c r="L121" i="1"/>
  <c r="N121" i="1"/>
  <c r="R121" i="1"/>
  <c r="U121" i="1"/>
  <c r="Y121" i="1"/>
  <c r="D121" i="1"/>
  <c r="AF121" i="1"/>
  <c r="AJ121" i="1"/>
  <c r="B122" i="1"/>
  <c r="F122" i="1"/>
  <c r="I122" i="1"/>
  <c r="P122" i="1"/>
  <c r="AB122" i="1"/>
  <c r="L122" i="1"/>
  <c r="N122" i="1"/>
  <c r="R122" i="1"/>
  <c r="U122" i="1"/>
  <c r="Y122" i="1"/>
  <c r="D122" i="1"/>
  <c r="AF122" i="1"/>
  <c r="AJ122" i="1"/>
  <c r="B123" i="1"/>
  <c r="F123" i="1"/>
  <c r="I123" i="1"/>
  <c r="P123" i="1"/>
  <c r="AB123" i="1"/>
  <c r="L123" i="1"/>
  <c r="N123" i="1"/>
  <c r="R123" i="1"/>
  <c r="U123" i="1"/>
  <c r="Y123" i="1"/>
  <c r="D123" i="1"/>
  <c r="AF123" i="1"/>
  <c r="AJ123" i="1"/>
  <c r="B124" i="1"/>
  <c r="F124" i="1"/>
  <c r="I124" i="1"/>
  <c r="P124" i="1"/>
  <c r="AB124" i="1"/>
  <c r="L124" i="1"/>
  <c r="N124" i="1"/>
  <c r="R124" i="1"/>
  <c r="U124" i="1"/>
  <c r="Y124" i="1"/>
  <c r="D124" i="1"/>
  <c r="AF124" i="1"/>
  <c r="AJ124" i="1"/>
  <c r="B125" i="1"/>
  <c r="F125" i="1"/>
  <c r="I125" i="1"/>
  <c r="P125" i="1"/>
  <c r="AB125" i="1"/>
  <c r="L125" i="1"/>
  <c r="N125" i="1"/>
  <c r="R125" i="1"/>
  <c r="U125" i="1"/>
  <c r="Y125" i="1"/>
  <c r="D125" i="1"/>
  <c r="AF125" i="1"/>
  <c r="AJ125" i="1"/>
  <c r="B126" i="1"/>
  <c r="F126" i="1"/>
  <c r="I126" i="1"/>
  <c r="P126" i="1"/>
  <c r="AB126" i="1"/>
  <c r="L126" i="1"/>
  <c r="N126" i="1"/>
  <c r="R126" i="1"/>
  <c r="U126" i="1"/>
  <c r="Y126" i="1"/>
  <c r="D126" i="1"/>
  <c r="AF126" i="1"/>
  <c r="AJ126" i="1"/>
  <c r="B127" i="1"/>
  <c r="F127" i="1"/>
  <c r="I127" i="1"/>
  <c r="P127" i="1"/>
  <c r="AB127" i="1"/>
  <c r="L127" i="1"/>
  <c r="N127" i="1"/>
  <c r="R127" i="1"/>
  <c r="U127" i="1"/>
  <c r="Y127" i="1"/>
  <c r="D127" i="1"/>
  <c r="AF127" i="1"/>
  <c r="AJ127" i="1"/>
  <c r="B128" i="1"/>
  <c r="F128" i="1"/>
  <c r="I128" i="1"/>
  <c r="P128" i="1"/>
  <c r="AB128" i="1"/>
  <c r="L128" i="1"/>
  <c r="N128" i="1"/>
  <c r="R128" i="1"/>
  <c r="U128" i="1"/>
  <c r="Y128" i="1"/>
  <c r="D128" i="1"/>
  <c r="AF128" i="1"/>
  <c r="AJ128" i="1"/>
  <c r="B129" i="1"/>
  <c r="F129" i="1"/>
  <c r="I129" i="1"/>
  <c r="P129" i="1"/>
  <c r="AB129" i="1"/>
  <c r="L129" i="1"/>
  <c r="N129" i="1"/>
  <c r="R129" i="1"/>
  <c r="U129" i="1"/>
  <c r="Y129" i="1"/>
  <c r="D129" i="1"/>
  <c r="AF129" i="1"/>
  <c r="AJ129" i="1"/>
  <c r="B130" i="1"/>
  <c r="F130" i="1"/>
  <c r="I130" i="1"/>
  <c r="P130" i="1"/>
  <c r="AB130" i="1"/>
  <c r="L130" i="1"/>
  <c r="N130" i="1"/>
  <c r="R130" i="1"/>
  <c r="U130" i="1"/>
  <c r="Y130" i="1"/>
  <c r="D130" i="1"/>
  <c r="AF130" i="1"/>
  <c r="AJ130" i="1"/>
  <c r="B131" i="1"/>
  <c r="F131" i="1"/>
  <c r="I131" i="1"/>
  <c r="P131" i="1"/>
  <c r="AB131" i="1"/>
  <c r="L131" i="1"/>
  <c r="N131" i="1"/>
  <c r="R131" i="1"/>
  <c r="U131" i="1"/>
  <c r="Y131" i="1"/>
  <c r="D131" i="1"/>
  <c r="AF131" i="1"/>
  <c r="AJ131" i="1"/>
  <c r="B132" i="1"/>
  <c r="F132" i="1"/>
  <c r="I132" i="1"/>
  <c r="P132" i="1"/>
  <c r="AB132" i="1"/>
  <c r="L132" i="1"/>
  <c r="N132" i="1"/>
  <c r="R132" i="1"/>
  <c r="U132" i="1"/>
  <c r="Y132" i="1"/>
  <c r="D132" i="1"/>
  <c r="AF132" i="1"/>
  <c r="AJ132" i="1"/>
  <c r="B133" i="1"/>
  <c r="F133" i="1"/>
  <c r="I133" i="1"/>
  <c r="P133" i="1"/>
  <c r="AB133" i="1"/>
  <c r="L133" i="1"/>
  <c r="N133" i="1"/>
  <c r="R133" i="1"/>
  <c r="U133" i="1"/>
  <c r="Y133" i="1"/>
  <c r="D133" i="1"/>
  <c r="AF133" i="1"/>
  <c r="AJ133" i="1"/>
  <c r="B134" i="1"/>
  <c r="F134" i="1"/>
  <c r="I134" i="1"/>
  <c r="P134" i="1"/>
  <c r="AB134" i="1"/>
  <c r="L134" i="1"/>
  <c r="N134" i="1"/>
  <c r="R134" i="1"/>
  <c r="U134" i="1"/>
  <c r="Y134" i="1"/>
  <c r="D134" i="1"/>
  <c r="AF134" i="1"/>
  <c r="AJ134" i="1"/>
  <c r="B135" i="1"/>
  <c r="F135" i="1"/>
  <c r="I135" i="1"/>
  <c r="P135" i="1"/>
  <c r="AB135" i="1"/>
  <c r="L135" i="1"/>
  <c r="N135" i="1"/>
  <c r="R135" i="1"/>
  <c r="U135" i="1"/>
  <c r="Y135" i="1"/>
  <c r="D135" i="1"/>
  <c r="AF135" i="1"/>
  <c r="AJ135" i="1"/>
  <c r="B136" i="1"/>
  <c r="F136" i="1"/>
  <c r="I136" i="1"/>
  <c r="P136" i="1"/>
  <c r="AB136" i="1"/>
  <c r="L136" i="1"/>
  <c r="N136" i="1"/>
  <c r="R136" i="1"/>
  <c r="U136" i="1"/>
  <c r="Y136" i="1"/>
  <c r="D136" i="1"/>
  <c r="AF136" i="1"/>
  <c r="AJ136" i="1"/>
  <c r="B137" i="1"/>
  <c r="F137" i="1"/>
  <c r="I137" i="1"/>
  <c r="P137" i="1"/>
  <c r="AB137" i="1"/>
  <c r="L137" i="1"/>
  <c r="N137" i="1"/>
  <c r="R137" i="1"/>
  <c r="U137" i="1"/>
  <c r="Y137" i="1"/>
  <c r="D137" i="1"/>
  <c r="AF137" i="1"/>
  <c r="AJ137" i="1"/>
  <c r="B138" i="1"/>
  <c r="F138" i="1"/>
  <c r="I138" i="1"/>
  <c r="P138" i="1"/>
  <c r="AB138" i="1"/>
  <c r="L138" i="1"/>
  <c r="N138" i="1"/>
  <c r="R138" i="1"/>
  <c r="U138" i="1"/>
  <c r="Y138" i="1"/>
  <c r="D138" i="1"/>
  <c r="AF138" i="1"/>
  <c r="AJ138" i="1"/>
  <c r="B139" i="1"/>
  <c r="F139" i="1"/>
  <c r="I139" i="1"/>
  <c r="P139" i="1"/>
  <c r="AB139" i="1"/>
  <c r="L139" i="1"/>
  <c r="N139" i="1"/>
  <c r="R139" i="1"/>
  <c r="U139" i="1"/>
  <c r="Y139" i="1"/>
  <c r="D139" i="1"/>
  <c r="AF139" i="1"/>
  <c r="AJ139" i="1"/>
  <c r="B140" i="1"/>
  <c r="F140" i="1"/>
  <c r="I140" i="1"/>
  <c r="P140" i="1"/>
  <c r="AB140" i="1"/>
  <c r="L140" i="1"/>
  <c r="N140" i="1"/>
  <c r="R140" i="1"/>
  <c r="U140" i="1"/>
  <c r="Y140" i="1"/>
  <c r="D140" i="1"/>
  <c r="AF140" i="1"/>
  <c r="AJ140" i="1"/>
  <c r="B141" i="1"/>
  <c r="F141" i="1"/>
  <c r="I141" i="1"/>
  <c r="P141" i="1"/>
  <c r="AB141" i="1"/>
  <c r="L141" i="1"/>
  <c r="N141" i="1"/>
  <c r="R141" i="1"/>
  <c r="U141" i="1"/>
  <c r="Y141" i="1"/>
  <c r="D141" i="1"/>
  <c r="AF141" i="1"/>
  <c r="AJ141" i="1"/>
  <c r="B142" i="1"/>
  <c r="F142" i="1"/>
  <c r="I142" i="1"/>
  <c r="P142" i="1"/>
  <c r="AB142" i="1"/>
  <c r="L142" i="1"/>
  <c r="N142" i="1"/>
  <c r="R142" i="1"/>
  <c r="U142" i="1"/>
  <c r="Y142" i="1"/>
  <c r="D142" i="1"/>
  <c r="AF142" i="1"/>
  <c r="AJ142" i="1"/>
  <c r="B143" i="1"/>
  <c r="F143" i="1"/>
  <c r="I143" i="1"/>
  <c r="P143" i="1"/>
  <c r="AB143" i="1"/>
  <c r="L143" i="1"/>
  <c r="N143" i="1"/>
  <c r="R143" i="1"/>
  <c r="U143" i="1"/>
  <c r="Y143" i="1"/>
  <c r="D143" i="1"/>
  <c r="AF143" i="1"/>
  <c r="AJ143" i="1"/>
  <c r="B144" i="1"/>
  <c r="F144" i="1"/>
  <c r="I144" i="1"/>
  <c r="P144" i="1"/>
  <c r="AB144" i="1"/>
  <c r="L144" i="1"/>
  <c r="N144" i="1"/>
  <c r="R144" i="1"/>
  <c r="U144" i="1"/>
  <c r="Y144" i="1"/>
  <c r="D144" i="1"/>
  <c r="AF144" i="1"/>
  <c r="AJ144" i="1"/>
  <c r="B145" i="1"/>
  <c r="F145" i="1"/>
  <c r="I145" i="1"/>
  <c r="P145" i="1"/>
  <c r="AB145" i="1"/>
  <c r="L145" i="1"/>
  <c r="N145" i="1"/>
  <c r="R145" i="1"/>
  <c r="U145" i="1"/>
  <c r="Y145" i="1"/>
  <c r="D145" i="1"/>
  <c r="AF145" i="1"/>
  <c r="AJ145" i="1"/>
  <c r="B146" i="1"/>
  <c r="F146" i="1"/>
  <c r="I146" i="1"/>
  <c r="P146" i="1"/>
  <c r="AB146" i="1"/>
  <c r="L146" i="1"/>
  <c r="N146" i="1"/>
  <c r="R146" i="1"/>
  <c r="U146" i="1"/>
  <c r="Y146" i="1"/>
  <c r="D146" i="1"/>
  <c r="AF146" i="1"/>
  <c r="AJ146" i="1"/>
  <c r="B147" i="1"/>
  <c r="F147" i="1"/>
  <c r="I147" i="1"/>
  <c r="P147" i="1"/>
  <c r="AB147" i="1"/>
  <c r="L147" i="1"/>
  <c r="N147" i="1"/>
  <c r="R147" i="1"/>
  <c r="U147" i="1"/>
  <c r="Y147" i="1"/>
  <c r="D147" i="1"/>
  <c r="AF147" i="1"/>
  <c r="AJ147" i="1"/>
  <c r="B148" i="1"/>
  <c r="F148" i="1"/>
  <c r="I148" i="1"/>
  <c r="P148" i="1"/>
  <c r="AB148" i="1"/>
  <c r="L148" i="1"/>
  <c r="N148" i="1"/>
  <c r="R148" i="1"/>
  <c r="U148" i="1"/>
  <c r="Y148" i="1"/>
  <c r="D148" i="1"/>
  <c r="AF148" i="1"/>
  <c r="AJ148" i="1"/>
  <c r="B149" i="1"/>
  <c r="F149" i="1"/>
  <c r="I149" i="1"/>
  <c r="P149" i="1"/>
  <c r="AB149" i="1"/>
  <c r="L149" i="1"/>
  <c r="N149" i="1"/>
  <c r="R149" i="1"/>
  <c r="U149" i="1"/>
  <c r="Y149" i="1"/>
  <c r="D149" i="1"/>
  <c r="AF149" i="1"/>
  <c r="AJ149" i="1"/>
  <c r="B150" i="1"/>
  <c r="F150" i="1"/>
  <c r="I150" i="1"/>
  <c r="P150" i="1"/>
  <c r="AB150" i="1"/>
  <c r="L150" i="1"/>
  <c r="N150" i="1"/>
  <c r="R150" i="1"/>
  <c r="U150" i="1"/>
  <c r="Y150" i="1"/>
  <c r="D150" i="1"/>
  <c r="AF150" i="1"/>
  <c r="AJ150" i="1"/>
  <c r="B151" i="1"/>
  <c r="F151" i="1"/>
  <c r="I151" i="1"/>
  <c r="P151" i="1"/>
  <c r="AB151" i="1"/>
  <c r="L151" i="1"/>
  <c r="N151" i="1"/>
  <c r="R151" i="1"/>
  <c r="U151" i="1"/>
  <c r="Y151" i="1"/>
  <c r="D151" i="1"/>
  <c r="AF151" i="1"/>
  <c r="AJ151" i="1"/>
  <c r="B152" i="1"/>
  <c r="F152" i="1"/>
  <c r="I152" i="1"/>
  <c r="P152" i="1"/>
  <c r="AB152" i="1"/>
  <c r="L152" i="1"/>
  <c r="N152" i="1"/>
  <c r="R152" i="1"/>
  <c r="U152" i="1"/>
  <c r="Y152" i="1"/>
  <c r="D152" i="1"/>
  <c r="AF152" i="1"/>
  <c r="AJ152" i="1"/>
  <c r="B153" i="1"/>
  <c r="F153" i="1"/>
  <c r="I153" i="1"/>
  <c r="P153" i="1"/>
  <c r="AB153" i="1"/>
  <c r="L153" i="1"/>
  <c r="N153" i="1"/>
  <c r="R153" i="1"/>
  <c r="U153" i="1"/>
  <c r="Y153" i="1"/>
  <c r="D153" i="1"/>
  <c r="AF153" i="1"/>
  <c r="AJ153" i="1"/>
  <c r="B154" i="1"/>
  <c r="F154" i="1"/>
  <c r="I154" i="1"/>
  <c r="P154" i="1"/>
  <c r="AB154" i="1"/>
  <c r="L154" i="1"/>
  <c r="N154" i="1"/>
  <c r="R154" i="1"/>
  <c r="U154" i="1"/>
  <c r="Y154" i="1"/>
  <c r="D154" i="1"/>
  <c r="AF154" i="1"/>
  <c r="AJ154" i="1"/>
  <c r="B155" i="1"/>
  <c r="F155" i="1"/>
  <c r="I155" i="1"/>
  <c r="P155" i="1"/>
  <c r="AB155" i="1"/>
  <c r="L155" i="1"/>
  <c r="N155" i="1"/>
  <c r="R155" i="1"/>
  <c r="U155" i="1"/>
  <c r="Y155" i="1"/>
  <c r="D155" i="1"/>
  <c r="AF155" i="1"/>
  <c r="AJ155" i="1"/>
  <c r="B156" i="1"/>
  <c r="F156" i="1"/>
  <c r="I156" i="1"/>
  <c r="P156" i="1"/>
  <c r="AB156" i="1"/>
  <c r="L156" i="1"/>
  <c r="N156" i="1"/>
  <c r="R156" i="1"/>
  <c r="U156" i="1"/>
  <c r="Y156" i="1"/>
  <c r="D156" i="1"/>
  <c r="AF156" i="1"/>
  <c r="AJ156" i="1"/>
  <c r="B157" i="1"/>
  <c r="F157" i="1"/>
  <c r="I157" i="1"/>
  <c r="P157" i="1"/>
  <c r="AB157" i="1"/>
  <c r="L157" i="1"/>
  <c r="N157" i="1"/>
  <c r="R157" i="1"/>
  <c r="U157" i="1"/>
  <c r="Y157" i="1"/>
  <c r="D157" i="1"/>
  <c r="AF157" i="1"/>
  <c r="AJ157" i="1"/>
  <c r="B158" i="1"/>
  <c r="F158" i="1"/>
  <c r="I158" i="1"/>
  <c r="P158" i="1"/>
  <c r="AB158" i="1"/>
  <c r="L158" i="1"/>
  <c r="N158" i="1"/>
  <c r="R158" i="1"/>
  <c r="U158" i="1"/>
  <c r="Y158" i="1"/>
  <c r="D158" i="1"/>
  <c r="AF158" i="1"/>
  <c r="AJ158" i="1"/>
  <c r="B159" i="1"/>
  <c r="F159" i="1"/>
  <c r="I159" i="1"/>
  <c r="P159" i="1"/>
  <c r="AB159" i="1"/>
  <c r="L159" i="1"/>
  <c r="N159" i="1"/>
  <c r="R159" i="1"/>
  <c r="U159" i="1"/>
  <c r="Y159" i="1"/>
  <c r="D159" i="1"/>
  <c r="AF159" i="1"/>
  <c r="AJ159" i="1"/>
  <c r="B160" i="1"/>
  <c r="F160" i="1"/>
  <c r="I160" i="1"/>
  <c r="P160" i="1"/>
  <c r="AB160" i="1"/>
  <c r="L160" i="1"/>
  <c r="N160" i="1"/>
  <c r="R160" i="1"/>
  <c r="U160" i="1"/>
  <c r="Y160" i="1"/>
  <c r="D160" i="1"/>
  <c r="AF160" i="1"/>
  <c r="AJ160" i="1"/>
  <c r="B161" i="1"/>
  <c r="F161" i="1"/>
  <c r="I161" i="1"/>
  <c r="P161" i="1"/>
  <c r="AB161" i="1"/>
  <c r="L161" i="1"/>
  <c r="N161" i="1"/>
  <c r="R161" i="1"/>
  <c r="U161" i="1"/>
  <c r="Y161" i="1"/>
  <c r="D161" i="1"/>
  <c r="AF161" i="1"/>
  <c r="AJ161" i="1"/>
  <c r="B162" i="1"/>
  <c r="F162" i="1"/>
  <c r="I162" i="1"/>
  <c r="P162" i="1"/>
  <c r="AB162" i="1"/>
  <c r="L162" i="1"/>
  <c r="N162" i="1"/>
  <c r="R162" i="1"/>
  <c r="U162" i="1"/>
  <c r="Y162" i="1"/>
  <c r="D162" i="1"/>
  <c r="AF162" i="1"/>
  <c r="AJ162" i="1"/>
  <c r="B163" i="1"/>
  <c r="F163" i="1"/>
  <c r="I163" i="1"/>
  <c r="P163" i="1"/>
  <c r="AB163" i="1"/>
  <c r="L163" i="1"/>
  <c r="N163" i="1"/>
  <c r="R163" i="1"/>
  <c r="U163" i="1"/>
  <c r="Y163" i="1"/>
  <c r="D163" i="1"/>
  <c r="AF163" i="1"/>
  <c r="AJ163" i="1"/>
  <c r="B164" i="1"/>
  <c r="F164" i="1"/>
  <c r="I164" i="1"/>
  <c r="P164" i="1"/>
  <c r="AB164" i="1"/>
  <c r="L164" i="1"/>
  <c r="N164" i="1"/>
  <c r="R164" i="1"/>
  <c r="U164" i="1"/>
  <c r="Y164" i="1"/>
  <c r="D164" i="1"/>
  <c r="AF164" i="1"/>
  <c r="AJ164" i="1"/>
  <c r="B165" i="1"/>
  <c r="F165" i="1"/>
  <c r="I165" i="1"/>
  <c r="P165" i="1"/>
  <c r="AB165" i="1"/>
  <c r="L165" i="1"/>
  <c r="N165" i="1"/>
  <c r="R165" i="1"/>
  <c r="U165" i="1"/>
  <c r="Y165" i="1"/>
  <c r="D165" i="1"/>
  <c r="AF165" i="1"/>
  <c r="AJ165" i="1"/>
  <c r="B166" i="1"/>
  <c r="F166" i="1"/>
  <c r="I166" i="1"/>
  <c r="P166" i="1"/>
  <c r="AB166" i="1"/>
  <c r="L166" i="1"/>
  <c r="N166" i="1"/>
  <c r="R166" i="1"/>
  <c r="U166" i="1"/>
  <c r="Y166" i="1"/>
  <c r="D166" i="1"/>
  <c r="AF166" i="1"/>
  <c r="AJ166" i="1"/>
  <c r="B167" i="1"/>
  <c r="F167" i="1"/>
  <c r="I167" i="1"/>
  <c r="P167" i="1"/>
  <c r="AB167" i="1"/>
  <c r="L167" i="1"/>
  <c r="N167" i="1"/>
  <c r="R167" i="1"/>
  <c r="U167" i="1"/>
  <c r="Y167" i="1"/>
  <c r="D167" i="1"/>
  <c r="AF167" i="1"/>
  <c r="AJ167" i="1"/>
  <c r="B168" i="1"/>
  <c r="F168" i="1"/>
  <c r="I168" i="1"/>
  <c r="P168" i="1"/>
  <c r="AB168" i="1"/>
  <c r="L168" i="1"/>
  <c r="N168" i="1"/>
  <c r="R168" i="1"/>
  <c r="U168" i="1"/>
  <c r="Y168" i="1"/>
  <c r="D168" i="1"/>
  <c r="AF168" i="1"/>
  <c r="AJ168" i="1"/>
  <c r="B169" i="1"/>
  <c r="F169" i="1"/>
  <c r="I169" i="1"/>
  <c r="P169" i="1"/>
  <c r="AB169" i="1"/>
  <c r="L169" i="1"/>
  <c r="N169" i="1"/>
  <c r="R169" i="1"/>
  <c r="U169" i="1"/>
  <c r="Y169" i="1"/>
  <c r="D169" i="1"/>
  <c r="AF169" i="1"/>
  <c r="AJ169" i="1"/>
  <c r="B170" i="1"/>
  <c r="F170" i="1"/>
  <c r="I170" i="1"/>
  <c r="P170" i="1"/>
  <c r="AB170" i="1"/>
  <c r="L170" i="1"/>
  <c r="N170" i="1"/>
  <c r="R170" i="1"/>
  <c r="U170" i="1"/>
  <c r="Y170" i="1"/>
  <c r="D170" i="1"/>
  <c r="AF170" i="1"/>
  <c r="AJ170" i="1"/>
  <c r="B171" i="1"/>
  <c r="F171" i="1"/>
  <c r="I171" i="1"/>
  <c r="P171" i="1"/>
  <c r="AB171" i="1"/>
  <c r="L171" i="1"/>
  <c r="N171" i="1"/>
  <c r="R171" i="1"/>
  <c r="U171" i="1"/>
  <c r="Y171" i="1"/>
  <c r="D171" i="1"/>
  <c r="AF171" i="1"/>
  <c r="AJ171" i="1"/>
  <c r="B172" i="1"/>
  <c r="F172" i="1"/>
  <c r="I172" i="1"/>
  <c r="P172" i="1"/>
  <c r="AB172" i="1"/>
  <c r="L172" i="1"/>
  <c r="N172" i="1"/>
  <c r="R172" i="1"/>
  <c r="U172" i="1"/>
  <c r="Y172" i="1"/>
  <c r="D172" i="1"/>
  <c r="AF172" i="1"/>
  <c r="AJ172" i="1"/>
  <c r="B173" i="1"/>
  <c r="F173" i="1"/>
  <c r="I173" i="1"/>
  <c r="P173" i="1"/>
  <c r="AB173" i="1"/>
  <c r="L173" i="1"/>
  <c r="N173" i="1"/>
  <c r="R173" i="1"/>
  <c r="U173" i="1"/>
  <c r="Y173" i="1"/>
  <c r="D173" i="1"/>
  <c r="AF173" i="1"/>
  <c r="AJ173" i="1"/>
  <c r="B174" i="1"/>
  <c r="F174" i="1"/>
  <c r="I174" i="1"/>
  <c r="P174" i="1"/>
  <c r="AB174" i="1"/>
  <c r="L174" i="1"/>
  <c r="N174" i="1"/>
  <c r="R174" i="1"/>
  <c r="U174" i="1"/>
  <c r="Y174" i="1"/>
  <c r="D174" i="1"/>
  <c r="AF174" i="1"/>
  <c r="AJ174" i="1"/>
  <c r="B175" i="1"/>
  <c r="F175" i="1"/>
  <c r="I175" i="1"/>
  <c r="P175" i="1"/>
  <c r="AB175" i="1"/>
  <c r="L175" i="1"/>
  <c r="N175" i="1"/>
  <c r="R175" i="1"/>
  <c r="U175" i="1"/>
  <c r="Y175" i="1"/>
  <c r="D175" i="1"/>
  <c r="AF175" i="1"/>
  <c r="AJ175" i="1"/>
  <c r="B176" i="1"/>
  <c r="F176" i="1"/>
  <c r="I176" i="1"/>
  <c r="P176" i="1"/>
  <c r="AB176" i="1"/>
  <c r="L176" i="1"/>
  <c r="N176" i="1"/>
  <c r="R176" i="1"/>
  <c r="U176" i="1"/>
  <c r="Y176" i="1"/>
  <c r="D176" i="1"/>
  <c r="AF176" i="1"/>
  <c r="AJ176" i="1"/>
  <c r="B177" i="1"/>
  <c r="F177" i="1"/>
  <c r="I177" i="1"/>
  <c r="P177" i="1"/>
  <c r="AB177" i="1"/>
  <c r="L177" i="1"/>
  <c r="N177" i="1"/>
  <c r="R177" i="1"/>
  <c r="U177" i="1"/>
  <c r="Y177" i="1"/>
  <c r="D177" i="1"/>
  <c r="AF177" i="1"/>
  <c r="AJ177" i="1"/>
  <c r="B178" i="1"/>
  <c r="F178" i="1"/>
  <c r="I178" i="1"/>
  <c r="P178" i="1"/>
  <c r="AB178" i="1"/>
  <c r="L178" i="1"/>
  <c r="N178" i="1"/>
  <c r="R178" i="1"/>
  <c r="U178" i="1"/>
  <c r="Y178" i="1"/>
  <c r="D178" i="1"/>
  <c r="AF178" i="1"/>
  <c r="AJ178" i="1"/>
  <c r="B179" i="1"/>
  <c r="F179" i="1"/>
  <c r="I179" i="1"/>
  <c r="P179" i="1"/>
  <c r="AB179" i="1"/>
  <c r="L179" i="1"/>
  <c r="N179" i="1"/>
  <c r="R179" i="1"/>
  <c r="U179" i="1"/>
  <c r="Y179" i="1"/>
  <c r="D179" i="1"/>
  <c r="AF179" i="1"/>
  <c r="AJ179" i="1"/>
  <c r="B180" i="1"/>
  <c r="F180" i="1"/>
  <c r="I180" i="1"/>
  <c r="P180" i="1"/>
  <c r="AB180" i="1"/>
  <c r="L180" i="1"/>
  <c r="N180" i="1"/>
  <c r="R180" i="1"/>
  <c r="U180" i="1"/>
  <c r="Y180" i="1"/>
  <c r="D180" i="1"/>
  <c r="AF180" i="1"/>
  <c r="AJ180" i="1"/>
  <c r="B181" i="1"/>
  <c r="F181" i="1"/>
  <c r="I181" i="1"/>
  <c r="P181" i="1"/>
  <c r="AB181" i="1"/>
  <c r="L181" i="1"/>
  <c r="N181" i="1"/>
  <c r="R181" i="1"/>
  <c r="U181" i="1"/>
  <c r="Y181" i="1"/>
  <c r="D181" i="1"/>
  <c r="AF181" i="1"/>
  <c r="AJ181" i="1"/>
  <c r="B182" i="1"/>
  <c r="F182" i="1"/>
  <c r="I182" i="1"/>
  <c r="P182" i="1"/>
  <c r="AB182" i="1"/>
  <c r="L182" i="1"/>
  <c r="N182" i="1"/>
  <c r="R182" i="1"/>
  <c r="U182" i="1"/>
  <c r="Y182" i="1"/>
  <c r="D182" i="1"/>
  <c r="AF182" i="1"/>
  <c r="AJ182" i="1"/>
  <c r="B183" i="1"/>
  <c r="F183" i="1"/>
  <c r="I183" i="1"/>
  <c r="P183" i="1"/>
  <c r="AB183" i="1"/>
  <c r="L183" i="1"/>
  <c r="N183" i="1"/>
  <c r="R183" i="1"/>
  <c r="U183" i="1"/>
  <c r="Y183" i="1"/>
  <c r="D183" i="1"/>
  <c r="AF183" i="1"/>
  <c r="AJ183" i="1"/>
  <c r="B184" i="1"/>
  <c r="F184" i="1"/>
  <c r="I184" i="1"/>
  <c r="P184" i="1"/>
  <c r="AB184" i="1"/>
  <c r="L184" i="1"/>
  <c r="N184" i="1"/>
  <c r="R184" i="1"/>
  <c r="U184" i="1"/>
  <c r="Y184" i="1"/>
  <c r="D184" i="1"/>
  <c r="AF184" i="1"/>
  <c r="AJ184" i="1"/>
  <c r="B185" i="1"/>
  <c r="F185" i="1"/>
  <c r="I185" i="1"/>
  <c r="P185" i="1"/>
  <c r="AB185" i="1"/>
  <c r="L185" i="1"/>
  <c r="N185" i="1"/>
  <c r="R185" i="1"/>
  <c r="U185" i="1"/>
  <c r="Y185" i="1"/>
  <c r="D185" i="1"/>
  <c r="AF185" i="1"/>
  <c r="AJ185" i="1"/>
  <c r="B186" i="1"/>
  <c r="F186" i="1"/>
  <c r="I186" i="1"/>
  <c r="P186" i="1"/>
  <c r="AB186" i="1"/>
  <c r="L186" i="1"/>
  <c r="N186" i="1"/>
  <c r="R186" i="1"/>
  <c r="U186" i="1"/>
  <c r="Y186" i="1"/>
  <c r="D186" i="1"/>
  <c r="AF186" i="1"/>
  <c r="AJ186" i="1"/>
  <c r="B187" i="1"/>
  <c r="F187" i="1"/>
  <c r="I187" i="1"/>
  <c r="P187" i="1"/>
  <c r="AB187" i="1"/>
  <c r="L187" i="1"/>
  <c r="N187" i="1"/>
  <c r="R187" i="1"/>
  <c r="U187" i="1"/>
  <c r="Y187" i="1"/>
  <c r="D187" i="1"/>
  <c r="AF187" i="1"/>
  <c r="AJ187" i="1"/>
  <c r="B188" i="1"/>
  <c r="F188" i="1"/>
  <c r="I188" i="1"/>
  <c r="P188" i="1"/>
  <c r="AB188" i="1"/>
  <c r="L188" i="1"/>
  <c r="N188" i="1"/>
  <c r="R188" i="1"/>
  <c r="U188" i="1"/>
  <c r="Y188" i="1"/>
  <c r="D188" i="1"/>
  <c r="AF188" i="1"/>
  <c r="AJ188" i="1"/>
  <c r="B189" i="1"/>
  <c r="F189" i="1"/>
  <c r="I189" i="1"/>
  <c r="P189" i="1"/>
  <c r="AB189" i="1"/>
  <c r="L189" i="1"/>
  <c r="N189" i="1"/>
  <c r="R189" i="1"/>
  <c r="U189" i="1"/>
  <c r="Y189" i="1"/>
  <c r="D189" i="1"/>
  <c r="AF189" i="1"/>
  <c r="AJ189" i="1"/>
  <c r="B190" i="1"/>
  <c r="F190" i="1"/>
  <c r="I190" i="1"/>
  <c r="P190" i="1"/>
  <c r="AB190" i="1"/>
  <c r="L190" i="1"/>
  <c r="N190" i="1"/>
  <c r="R190" i="1"/>
  <c r="U190" i="1"/>
  <c r="Y190" i="1"/>
  <c r="D190" i="1"/>
  <c r="AF190" i="1"/>
  <c r="AJ190" i="1"/>
  <c r="B191" i="1"/>
  <c r="F191" i="1"/>
  <c r="I191" i="1"/>
  <c r="P191" i="1"/>
  <c r="AB191" i="1"/>
  <c r="L191" i="1"/>
  <c r="N191" i="1"/>
  <c r="R191" i="1"/>
  <c r="U191" i="1"/>
  <c r="Y191" i="1"/>
  <c r="D191" i="1"/>
  <c r="AF191" i="1"/>
  <c r="AJ191" i="1"/>
  <c r="B192" i="1"/>
  <c r="F192" i="1"/>
  <c r="I192" i="1"/>
  <c r="P192" i="1"/>
  <c r="AB192" i="1"/>
  <c r="L192" i="1"/>
  <c r="N192" i="1"/>
  <c r="R192" i="1"/>
  <c r="U192" i="1"/>
  <c r="Y192" i="1"/>
  <c r="D192" i="1"/>
  <c r="AF192" i="1"/>
  <c r="AJ192" i="1"/>
  <c r="B193" i="1"/>
  <c r="F193" i="1"/>
  <c r="I193" i="1"/>
  <c r="P193" i="1"/>
  <c r="AB193" i="1"/>
  <c r="L193" i="1"/>
  <c r="N193" i="1"/>
  <c r="R193" i="1"/>
  <c r="U193" i="1"/>
  <c r="Y193" i="1"/>
  <c r="D193" i="1"/>
  <c r="AF193" i="1"/>
  <c r="AJ193" i="1"/>
  <c r="B194" i="1"/>
  <c r="F194" i="1"/>
  <c r="I194" i="1"/>
  <c r="P194" i="1"/>
  <c r="AB194" i="1"/>
  <c r="L194" i="1"/>
  <c r="N194" i="1"/>
  <c r="R194" i="1"/>
  <c r="U194" i="1"/>
  <c r="Y194" i="1"/>
  <c r="D194" i="1"/>
  <c r="AF194" i="1"/>
  <c r="AJ194" i="1"/>
  <c r="B195" i="1"/>
  <c r="F195" i="1"/>
  <c r="I195" i="1"/>
  <c r="P195" i="1"/>
  <c r="AB195" i="1"/>
  <c r="L195" i="1"/>
  <c r="N195" i="1"/>
  <c r="R195" i="1"/>
  <c r="U195" i="1"/>
  <c r="Y195" i="1"/>
  <c r="D195" i="1"/>
  <c r="AF195" i="1"/>
  <c r="AJ195" i="1"/>
  <c r="B196" i="1"/>
  <c r="F196" i="1"/>
  <c r="I196" i="1"/>
  <c r="P196" i="1"/>
  <c r="AB196" i="1"/>
  <c r="L196" i="1"/>
  <c r="N196" i="1"/>
  <c r="R196" i="1"/>
  <c r="U196" i="1"/>
  <c r="Y196" i="1"/>
  <c r="D196" i="1"/>
  <c r="AF196" i="1"/>
  <c r="AJ196" i="1"/>
  <c r="B197" i="1"/>
  <c r="F197" i="1"/>
  <c r="I197" i="1"/>
  <c r="P197" i="1"/>
  <c r="AB197" i="1"/>
  <c r="L197" i="1"/>
  <c r="N197" i="1"/>
  <c r="R197" i="1"/>
  <c r="U197" i="1"/>
  <c r="Y197" i="1"/>
  <c r="D197" i="1"/>
  <c r="AF197" i="1"/>
  <c r="AJ197" i="1"/>
  <c r="B198" i="1"/>
  <c r="F198" i="1"/>
  <c r="I198" i="1"/>
  <c r="P198" i="1"/>
  <c r="AB198" i="1"/>
  <c r="L198" i="1"/>
  <c r="N198" i="1"/>
  <c r="R198" i="1"/>
  <c r="U198" i="1"/>
  <c r="Y198" i="1"/>
  <c r="D198" i="1"/>
  <c r="AF198" i="1"/>
  <c r="AJ198" i="1"/>
  <c r="B199" i="1"/>
  <c r="F199" i="1"/>
  <c r="I199" i="1"/>
  <c r="P199" i="1"/>
  <c r="AB199" i="1"/>
  <c r="L199" i="1"/>
  <c r="N199" i="1"/>
  <c r="R199" i="1"/>
  <c r="U199" i="1"/>
  <c r="Y199" i="1"/>
  <c r="D199" i="1"/>
  <c r="AF199" i="1"/>
  <c r="AJ199" i="1"/>
  <c r="B200" i="1"/>
  <c r="F200" i="1"/>
  <c r="I200" i="1"/>
  <c r="P200" i="1"/>
  <c r="AB200" i="1"/>
  <c r="L200" i="1"/>
  <c r="N200" i="1"/>
  <c r="R200" i="1"/>
  <c r="U200" i="1"/>
  <c r="Y200" i="1"/>
  <c r="D200" i="1"/>
  <c r="AF200" i="1"/>
  <c r="AJ200" i="1"/>
  <c r="B201" i="1"/>
  <c r="F201" i="1"/>
  <c r="I201" i="1"/>
  <c r="P201" i="1"/>
  <c r="AB201" i="1"/>
  <c r="L201" i="1"/>
  <c r="N201" i="1"/>
  <c r="R201" i="1"/>
  <c r="U201" i="1"/>
  <c r="Y201" i="1"/>
  <c r="D201" i="1"/>
  <c r="AF201" i="1"/>
  <c r="AJ201" i="1"/>
  <c r="B202" i="1"/>
  <c r="F202" i="1"/>
  <c r="I202" i="1"/>
  <c r="P202" i="1"/>
  <c r="AB202" i="1"/>
  <c r="L202" i="1"/>
  <c r="N202" i="1"/>
  <c r="R202" i="1"/>
  <c r="U202" i="1"/>
  <c r="Y202" i="1"/>
  <c r="D202" i="1"/>
  <c r="AF202" i="1"/>
  <c r="AJ202" i="1"/>
  <c r="B203" i="1"/>
  <c r="F203" i="1"/>
  <c r="I203" i="1"/>
  <c r="P203" i="1"/>
  <c r="AB203" i="1"/>
  <c r="L203" i="1"/>
  <c r="N203" i="1"/>
  <c r="R203" i="1"/>
  <c r="U203" i="1"/>
  <c r="Y203" i="1"/>
  <c r="D203" i="1"/>
  <c r="AF203" i="1"/>
  <c r="AJ203" i="1"/>
  <c r="B204" i="1"/>
  <c r="F204" i="1"/>
  <c r="I204" i="1"/>
  <c r="P204" i="1"/>
  <c r="AB204" i="1"/>
  <c r="L204" i="1"/>
  <c r="N204" i="1"/>
  <c r="R204" i="1"/>
  <c r="U204" i="1"/>
  <c r="Y204" i="1"/>
  <c r="D204" i="1"/>
  <c r="AF204" i="1"/>
  <c r="AJ204" i="1"/>
  <c r="B205" i="1"/>
  <c r="F205" i="1"/>
  <c r="I205" i="1"/>
  <c r="P205" i="1"/>
  <c r="AB205" i="1"/>
  <c r="L205" i="1"/>
  <c r="N205" i="1"/>
  <c r="R205" i="1"/>
  <c r="U205" i="1"/>
  <c r="Y205" i="1"/>
  <c r="D205" i="1"/>
  <c r="AF205" i="1"/>
  <c r="AJ205" i="1"/>
  <c r="B206" i="1"/>
  <c r="F206" i="1"/>
  <c r="I206" i="1"/>
  <c r="P206" i="1"/>
  <c r="AB206" i="1"/>
  <c r="L206" i="1"/>
  <c r="N206" i="1"/>
  <c r="R206" i="1"/>
  <c r="U206" i="1"/>
  <c r="Y206" i="1"/>
  <c r="D206" i="1"/>
  <c r="AF206" i="1"/>
  <c r="AJ206" i="1"/>
  <c r="B207" i="1"/>
  <c r="F207" i="1"/>
  <c r="I207" i="1"/>
  <c r="P207" i="1"/>
  <c r="AB207" i="1"/>
  <c r="L207" i="1"/>
  <c r="N207" i="1"/>
  <c r="R207" i="1"/>
  <c r="U207" i="1"/>
  <c r="Y207" i="1"/>
  <c r="D207" i="1"/>
  <c r="AF207" i="1"/>
  <c r="AJ207" i="1"/>
  <c r="B208" i="1"/>
  <c r="F208" i="1"/>
  <c r="I208" i="1"/>
  <c r="P208" i="1"/>
  <c r="AB208" i="1"/>
  <c r="L208" i="1"/>
  <c r="N208" i="1"/>
  <c r="R208" i="1"/>
  <c r="U208" i="1"/>
  <c r="Y208" i="1"/>
  <c r="D208" i="1"/>
  <c r="AF208" i="1"/>
  <c r="AJ208" i="1"/>
  <c r="B209" i="1"/>
  <c r="F209" i="1"/>
  <c r="I209" i="1"/>
  <c r="P209" i="1"/>
  <c r="AB209" i="1"/>
  <c r="L209" i="1"/>
  <c r="N209" i="1"/>
  <c r="R209" i="1"/>
  <c r="U209" i="1"/>
  <c r="Y209" i="1"/>
  <c r="D209" i="1"/>
  <c r="AF209" i="1"/>
  <c r="AJ209" i="1"/>
  <c r="B210" i="1"/>
  <c r="F210" i="1"/>
  <c r="I210" i="1"/>
  <c r="P210" i="1"/>
  <c r="AB210" i="1"/>
  <c r="L210" i="1"/>
  <c r="N210" i="1"/>
  <c r="R210" i="1"/>
  <c r="U210" i="1"/>
  <c r="Y210" i="1"/>
  <c r="D210" i="1"/>
  <c r="AF210" i="1"/>
  <c r="AJ210" i="1"/>
  <c r="B211" i="1"/>
  <c r="F211" i="1"/>
  <c r="I211" i="1"/>
  <c r="P211" i="1"/>
  <c r="AB211" i="1"/>
  <c r="L211" i="1"/>
  <c r="N211" i="1"/>
  <c r="R211" i="1"/>
  <c r="U211" i="1"/>
  <c r="Y211" i="1"/>
  <c r="D211" i="1"/>
  <c r="AF211" i="1"/>
  <c r="AJ211" i="1"/>
  <c r="B212" i="1"/>
  <c r="F212" i="1"/>
  <c r="I212" i="1"/>
  <c r="P212" i="1"/>
  <c r="AB212" i="1"/>
  <c r="L212" i="1"/>
  <c r="N212" i="1"/>
  <c r="R212" i="1"/>
  <c r="U212" i="1"/>
  <c r="Y212" i="1"/>
  <c r="D212" i="1"/>
  <c r="AF212" i="1"/>
  <c r="AJ212" i="1"/>
  <c r="B213" i="1"/>
  <c r="F213" i="1"/>
  <c r="I213" i="1"/>
  <c r="P213" i="1"/>
  <c r="AB213" i="1"/>
  <c r="L213" i="1"/>
  <c r="N213" i="1"/>
  <c r="R213" i="1"/>
  <c r="U213" i="1"/>
  <c r="Y213" i="1"/>
  <c r="D213" i="1"/>
  <c r="AF213" i="1"/>
  <c r="AJ213" i="1"/>
  <c r="B214" i="1"/>
  <c r="F214" i="1"/>
  <c r="I214" i="1"/>
  <c r="P214" i="1"/>
  <c r="AB214" i="1"/>
  <c r="L214" i="1"/>
  <c r="N214" i="1"/>
  <c r="R214" i="1"/>
  <c r="U214" i="1"/>
  <c r="Y214" i="1"/>
  <c r="D214" i="1"/>
  <c r="AF214" i="1"/>
  <c r="AJ214" i="1"/>
  <c r="B215" i="1"/>
  <c r="F215" i="1"/>
  <c r="I215" i="1"/>
  <c r="P215" i="1"/>
  <c r="AB215" i="1"/>
  <c r="L215" i="1"/>
  <c r="N215" i="1"/>
  <c r="R215" i="1"/>
  <c r="U215" i="1"/>
  <c r="Y215" i="1"/>
  <c r="D215" i="1"/>
  <c r="AF215" i="1"/>
  <c r="AJ215" i="1"/>
  <c r="B216" i="1"/>
  <c r="F216" i="1"/>
  <c r="I216" i="1"/>
  <c r="P216" i="1"/>
  <c r="AB216" i="1"/>
  <c r="L216" i="1"/>
  <c r="N216" i="1"/>
  <c r="R216" i="1"/>
  <c r="U216" i="1"/>
  <c r="Y216" i="1"/>
  <c r="D216" i="1"/>
  <c r="AF216" i="1"/>
  <c r="AJ216" i="1"/>
  <c r="B217" i="1"/>
  <c r="F217" i="1"/>
  <c r="I217" i="1"/>
  <c r="P217" i="1"/>
  <c r="AB217" i="1"/>
  <c r="L217" i="1"/>
  <c r="N217" i="1"/>
  <c r="R217" i="1"/>
  <c r="U217" i="1"/>
  <c r="Y217" i="1"/>
  <c r="D217" i="1"/>
  <c r="AF217" i="1"/>
  <c r="AJ217" i="1"/>
  <c r="B218" i="1"/>
  <c r="F218" i="1"/>
  <c r="I218" i="1"/>
  <c r="P218" i="1"/>
  <c r="AB218" i="1"/>
  <c r="L218" i="1"/>
  <c r="N218" i="1"/>
  <c r="R218" i="1"/>
  <c r="U218" i="1"/>
  <c r="Y218" i="1"/>
  <c r="D218" i="1"/>
  <c r="AF218" i="1"/>
  <c r="AJ218" i="1"/>
  <c r="B219" i="1"/>
  <c r="F219" i="1"/>
  <c r="I219" i="1"/>
  <c r="P219" i="1"/>
  <c r="AB219" i="1"/>
  <c r="L219" i="1"/>
  <c r="N219" i="1"/>
  <c r="R219" i="1"/>
  <c r="U219" i="1"/>
  <c r="Y219" i="1"/>
  <c r="D219" i="1"/>
  <c r="AF219" i="1"/>
  <c r="AJ219" i="1"/>
  <c r="B220" i="1"/>
  <c r="F220" i="1"/>
  <c r="I220" i="1"/>
  <c r="P220" i="1"/>
  <c r="AB220" i="1"/>
  <c r="L220" i="1"/>
  <c r="N220" i="1"/>
  <c r="R220" i="1"/>
  <c r="U220" i="1"/>
  <c r="Y220" i="1"/>
  <c r="D220" i="1"/>
  <c r="AF220" i="1"/>
  <c r="AJ220" i="1"/>
  <c r="B221" i="1"/>
  <c r="F221" i="1"/>
  <c r="I221" i="1"/>
  <c r="P221" i="1"/>
  <c r="AB221" i="1"/>
  <c r="L221" i="1"/>
  <c r="N221" i="1"/>
  <c r="R221" i="1"/>
  <c r="U221" i="1"/>
  <c r="Y221" i="1"/>
  <c r="D221" i="1"/>
  <c r="AF221" i="1"/>
  <c r="AJ221" i="1"/>
  <c r="B222" i="1"/>
  <c r="F222" i="1"/>
  <c r="I222" i="1"/>
  <c r="P222" i="1"/>
  <c r="AB222" i="1"/>
  <c r="L222" i="1"/>
  <c r="N222" i="1"/>
  <c r="R222" i="1"/>
  <c r="U222" i="1"/>
  <c r="Y222" i="1"/>
  <c r="D222" i="1"/>
  <c r="AF222" i="1"/>
  <c r="AJ222" i="1"/>
  <c r="B223" i="1"/>
  <c r="F223" i="1"/>
  <c r="I223" i="1"/>
  <c r="P223" i="1"/>
  <c r="AB223" i="1"/>
  <c r="L223" i="1"/>
  <c r="N223" i="1"/>
  <c r="R223" i="1"/>
  <c r="U223" i="1"/>
  <c r="Y223" i="1"/>
  <c r="D223" i="1"/>
  <c r="AF223" i="1"/>
  <c r="AJ223" i="1"/>
  <c r="B224" i="1"/>
  <c r="F224" i="1"/>
  <c r="I224" i="1"/>
  <c r="P224" i="1"/>
  <c r="AB224" i="1"/>
  <c r="L224" i="1"/>
  <c r="N224" i="1"/>
  <c r="R224" i="1"/>
  <c r="U224" i="1"/>
  <c r="Y224" i="1"/>
  <c r="D224" i="1"/>
  <c r="AF224" i="1"/>
  <c r="AJ224" i="1"/>
  <c r="B225" i="1"/>
  <c r="F225" i="1"/>
  <c r="I225" i="1"/>
  <c r="P225" i="1"/>
  <c r="AB225" i="1"/>
  <c r="L225" i="1"/>
  <c r="N225" i="1"/>
  <c r="R225" i="1"/>
  <c r="U225" i="1"/>
  <c r="Y225" i="1"/>
  <c r="D225" i="1"/>
  <c r="AF225" i="1"/>
  <c r="AJ225" i="1"/>
  <c r="B226" i="1"/>
  <c r="F226" i="1"/>
  <c r="I226" i="1"/>
  <c r="P226" i="1"/>
  <c r="AB226" i="1"/>
  <c r="L226" i="1"/>
  <c r="N226" i="1"/>
  <c r="R226" i="1"/>
  <c r="U226" i="1"/>
  <c r="Y226" i="1"/>
  <c r="D226" i="1"/>
  <c r="AF226" i="1"/>
  <c r="AJ226" i="1"/>
  <c r="B227" i="1"/>
  <c r="F227" i="1"/>
  <c r="I227" i="1"/>
  <c r="P227" i="1"/>
  <c r="AB227" i="1"/>
  <c r="L227" i="1"/>
  <c r="N227" i="1"/>
  <c r="R227" i="1"/>
  <c r="U227" i="1"/>
  <c r="Y227" i="1"/>
  <c r="D227" i="1"/>
  <c r="AF227" i="1"/>
  <c r="AJ227" i="1"/>
  <c r="B228" i="1"/>
  <c r="F228" i="1"/>
  <c r="I228" i="1"/>
  <c r="P228" i="1"/>
  <c r="AB228" i="1"/>
  <c r="L228" i="1"/>
  <c r="N228" i="1"/>
  <c r="R228" i="1"/>
  <c r="U228" i="1"/>
  <c r="Y228" i="1"/>
  <c r="D228" i="1"/>
  <c r="AF228" i="1"/>
  <c r="AJ228" i="1"/>
  <c r="B229" i="1"/>
  <c r="F229" i="1"/>
  <c r="I229" i="1"/>
  <c r="P229" i="1"/>
  <c r="AB229" i="1"/>
  <c r="L229" i="1"/>
  <c r="N229" i="1"/>
  <c r="R229" i="1"/>
  <c r="U229" i="1"/>
  <c r="Y229" i="1"/>
  <c r="D229" i="1"/>
  <c r="AF229" i="1"/>
  <c r="AJ229" i="1"/>
  <c r="B230" i="1"/>
  <c r="F230" i="1"/>
  <c r="I230" i="1"/>
  <c r="P230" i="1"/>
  <c r="AB230" i="1"/>
  <c r="L230" i="1"/>
  <c r="N230" i="1"/>
  <c r="R230" i="1"/>
  <c r="U230" i="1"/>
  <c r="Y230" i="1"/>
  <c r="D230" i="1"/>
  <c r="AF230" i="1"/>
  <c r="AJ230" i="1"/>
  <c r="B231" i="1"/>
  <c r="F231" i="1"/>
  <c r="I231" i="1"/>
  <c r="P231" i="1"/>
  <c r="AB231" i="1"/>
  <c r="L231" i="1"/>
  <c r="N231" i="1"/>
  <c r="R231" i="1"/>
  <c r="U231" i="1"/>
  <c r="Y231" i="1"/>
  <c r="D231" i="1"/>
  <c r="AF231" i="1"/>
  <c r="AJ231" i="1"/>
  <c r="B232" i="1"/>
  <c r="F232" i="1"/>
  <c r="I232" i="1"/>
  <c r="P232" i="1"/>
  <c r="AB232" i="1"/>
  <c r="L232" i="1"/>
  <c r="N232" i="1"/>
  <c r="R232" i="1"/>
  <c r="U232" i="1"/>
  <c r="Y232" i="1"/>
  <c r="D232" i="1"/>
  <c r="AF232" i="1"/>
  <c r="AJ232" i="1"/>
  <c r="B233" i="1"/>
  <c r="F233" i="1"/>
  <c r="I233" i="1"/>
  <c r="P233" i="1"/>
  <c r="AB233" i="1"/>
  <c r="L233" i="1"/>
  <c r="N233" i="1"/>
  <c r="R233" i="1"/>
  <c r="U233" i="1"/>
  <c r="Y233" i="1"/>
  <c r="D233" i="1"/>
  <c r="AF233" i="1"/>
  <c r="AJ233" i="1"/>
  <c r="B234" i="1"/>
  <c r="F234" i="1"/>
  <c r="I234" i="1"/>
  <c r="P234" i="1"/>
  <c r="AB234" i="1"/>
  <c r="L234" i="1"/>
  <c r="N234" i="1"/>
  <c r="R234" i="1"/>
  <c r="U234" i="1"/>
  <c r="Y234" i="1"/>
  <c r="D234" i="1"/>
  <c r="AF234" i="1"/>
  <c r="AJ234" i="1"/>
  <c r="B235" i="1"/>
  <c r="F235" i="1"/>
  <c r="I235" i="1"/>
  <c r="P235" i="1"/>
  <c r="AB235" i="1"/>
  <c r="L235" i="1"/>
  <c r="N235" i="1"/>
  <c r="R235" i="1"/>
  <c r="U235" i="1"/>
  <c r="Y235" i="1"/>
  <c r="D235" i="1"/>
  <c r="AF235" i="1"/>
  <c r="AJ235" i="1"/>
  <c r="B236" i="1"/>
  <c r="F236" i="1"/>
  <c r="I236" i="1"/>
  <c r="P236" i="1"/>
  <c r="AB236" i="1"/>
  <c r="L236" i="1"/>
  <c r="N236" i="1"/>
  <c r="R236" i="1"/>
  <c r="U236" i="1"/>
  <c r="Y236" i="1"/>
  <c r="D236" i="1"/>
  <c r="AF236" i="1"/>
  <c r="AJ236" i="1"/>
  <c r="B237" i="1"/>
  <c r="F237" i="1"/>
  <c r="I237" i="1"/>
  <c r="P237" i="1"/>
  <c r="AB237" i="1"/>
  <c r="L237" i="1"/>
  <c r="N237" i="1"/>
  <c r="R237" i="1"/>
  <c r="U237" i="1"/>
  <c r="Y237" i="1"/>
  <c r="D237" i="1"/>
  <c r="AF237" i="1"/>
  <c r="AJ237" i="1"/>
  <c r="B238" i="1"/>
  <c r="F238" i="1"/>
  <c r="I238" i="1"/>
  <c r="P238" i="1"/>
  <c r="AB238" i="1"/>
  <c r="L238" i="1"/>
  <c r="N238" i="1"/>
  <c r="R238" i="1"/>
  <c r="U238" i="1"/>
  <c r="Y238" i="1"/>
  <c r="D238" i="1"/>
  <c r="AF238" i="1"/>
  <c r="AJ238" i="1"/>
  <c r="B239" i="1"/>
  <c r="F239" i="1"/>
  <c r="I239" i="1"/>
  <c r="P239" i="1"/>
  <c r="AB239" i="1"/>
  <c r="L239" i="1"/>
  <c r="N239" i="1"/>
  <c r="R239" i="1"/>
  <c r="U239" i="1"/>
  <c r="Y239" i="1"/>
  <c r="D239" i="1"/>
  <c r="AF239" i="1"/>
  <c r="AJ239" i="1"/>
  <c r="B240" i="1"/>
  <c r="F240" i="1"/>
  <c r="I240" i="1"/>
  <c r="P240" i="1"/>
  <c r="AB240" i="1"/>
  <c r="L240" i="1"/>
  <c r="N240" i="1"/>
  <c r="R240" i="1"/>
  <c r="U240" i="1"/>
  <c r="Y240" i="1"/>
  <c r="D240" i="1"/>
  <c r="AF240" i="1"/>
  <c r="AJ240" i="1"/>
  <c r="B241" i="1"/>
  <c r="F241" i="1"/>
  <c r="I241" i="1"/>
  <c r="P241" i="1"/>
  <c r="AB241" i="1"/>
  <c r="L241" i="1"/>
  <c r="N241" i="1"/>
  <c r="R241" i="1"/>
  <c r="U241" i="1"/>
  <c r="Y241" i="1"/>
  <c r="D241" i="1"/>
  <c r="AF241" i="1"/>
  <c r="AJ241" i="1"/>
  <c r="B242" i="1"/>
  <c r="F242" i="1"/>
  <c r="I242" i="1"/>
  <c r="P242" i="1"/>
  <c r="AB242" i="1"/>
  <c r="L242" i="1"/>
  <c r="N242" i="1"/>
  <c r="R242" i="1"/>
  <c r="U242" i="1"/>
  <c r="Y242" i="1"/>
  <c r="D242" i="1"/>
  <c r="AF242" i="1"/>
  <c r="AJ242" i="1"/>
  <c r="B243" i="1"/>
  <c r="F243" i="1"/>
  <c r="I243" i="1"/>
  <c r="P243" i="1"/>
  <c r="AB243" i="1"/>
  <c r="L243" i="1"/>
  <c r="N243" i="1"/>
  <c r="R243" i="1"/>
  <c r="U243" i="1"/>
  <c r="Y243" i="1"/>
  <c r="D243" i="1"/>
  <c r="AF243" i="1"/>
  <c r="AJ243" i="1"/>
  <c r="B244" i="1"/>
  <c r="F244" i="1"/>
  <c r="I244" i="1"/>
  <c r="P244" i="1"/>
  <c r="AB244" i="1"/>
  <c r="L244" i="1"/>
  <c r="N244" i="1"/>
  <c r="R244" i="1"/>
  <c r="U244" i="1"/>
  <c r="Y244" i="1"/>
  <c r="D244" i="1"/>
  <c r="AF244" i="1"/>
  <c r="AJ244" i="1"/>
  <c r="B245" i="1"/>
  <c r="F245" i="1"/>
  <c r="I245" i="1"/>
  <c r="P245" i="1"/>
  <c r="AB245" i="1"/>
  <c r="L245" i="1"/>
  <c r="N245" i="1"/>
  <c r="R245" i="1"/>
  <c r="U245" i="1"/>
  <c r="Y245" i="1"/>
  <c r="D245" i="1"/>
  <c r="AF245" i="1"/>
  <c r="AJ245" i="1"/>
  <c r="B246" i="1"/>
  <c r="F246" i="1"/>
  <c r="I246" i="1"/>
  <c r="P246" i="1"/>
  <c r="AB246" i="1"/>
  <c r="L246" i="1"/>
  <c r="N246" i="1"/>
  <c r="R246" i="1"/>
  <c r="U246" i="1"/>
  <c r="Y246" i="1"/>
  <c r="D246" i="1"/>
  <c r="AF246" i="1"/>
  <c r="AJ246" i="1"/>
  <c r="B247" i="1"/>
  <c r="F247" i="1"/>
  <c r="I247" i="1"/>
  <c r="P247" i="1"/>
  <c r="AB247" i="1"/>
  <c r="L247" i="1"/>
  <c r="N247" i="1"/>
  <c r="R247" i="1"/>
  <c r="U247" i="1"/>
  <c r="Y247" i="1"/>
  <c r="D247" i="1"/>
  <c r="AF247" i="1"/>
  <c r="AJ247" i="1"/>
  <c r="B248" i="1"/>
  <c r="F248" i="1"/>
  <c r="I248" i="1"/>
  <c r="P248" i="1"/>
  <c r="AB248" i="1"/>
  <c r="L248" i="1"/>
  <c r="N248" i="1"/>
  <c r="R248" i="1"/>
  <c r="U248" i="1"/>
  <c r="Y248" i="1"/>
  <c r="D248" i="1"/>
  <c r="AF248" i="1"/>
  <c r="AJ248" i="1"/>
  <c r="B249" i="1"/>
  <c r="F249" i="1"/>
  <c r="I249" i="1"/>
  <c r="P249" i="1"/>
  <c r="AB249" i="1"/>
  <c r="L249" i="1"/>
  <c r="N249" i="1"/>
  <c r="R249" i="1"/>
  <c r="U249" i="1"/>
  <c r="Y249" i="1"/>
  <c r="D249" i="1"/>
  <c r="AF249" i="1"/>
  <c r="AJ249" i="1"/>
  <c r="B250" i="1"/>
  <c r="F250" i="1"/>
  <c r="I250" i="1"/>
  <c r="P250" i="1"/>
  <c r="AB250" i="1"/>
  <c r="L250" i="1"/>
  <c r="N250" i="1"/>
  <c r="R250" i="1"/>
  <c r="U250" i="1"/>
  <c r="Y250" i="1"/>
  <c r="D250" i="1"/>
  <c r="AF250" i="1"/>
  <c r="AJ250" i="1"/>
  <c r="B251" i="1"/>
  <c r="F251" i="1"/>
  <c r="I251" i="1"/>
  <c r="P251" i="1"/>
  <c r="AB251" i="1"/>
  <c r="L251" i="1"/>
  <c r="N251" i="1"/>
  <c r="R251" i="1"/>
  <c r="U251" i="1"/>
  <c r="Y251" i="1"/>
  <c r="D251" i="1"/>
  <c r="AF251" i="1"/>
  <c r="AJ251" i="1"/>
  <c r="B252" i="1"/>
  <c r="F252" i="1"/>
  <c r="I252" i="1"/>
  <c r="P252" i="1"/>
  <c r="AB252" i="1"/>
  <c r="L252" i="1"/>
  <c r="N252" i="1"/>
  <c r="R252" i="1"/>
  <c r="U252" i="1"/>
  <c r="Y252" i="1"/>
  <c r="D252" i="1"/>
  <c r="AF252" i="1"/>
  <c r="AJ252" i="1"/>
  <c r="B253" i="1"/>
  <c r="F253" i="1"/>
  <c r="I253" i="1"/>
  <c r="P253" i="1"/>
  <c r="AB253" i="1"/>
  <c r="L253" i="1"/>
  <c r="N253" i="1"/>
  <c r="R253" i="1"/>
  <c r="U253" i="1"/>
  <c r="Y253" i="1"/>
  <c r="D253" i="1"/>
  <c r="AF253" i="1"/>
  <c r="AJ253" i="1"/>
  <c r="B254" i="1"/>
  <c r="F254" i="1"/>
  <c r="I254" i="1"/>
  <c r="P254" i="1"/>
  <c r="AB254" i="1"/>
  <c r="L254" i="1"/>
  <c r="N254" i="1"/>
  <c r="R254" i="1"/>
  <c r="U254" i="1"/>
  <c r="Y254" i="1"/>
  <c r="D254" i="1"/>
  <c r="AF254" i="1"/>
  <c r="AJ254" i="1"/>
  <c r="B255" i="1"/>
  <c r="F255" i="1"/>
  <c r="I255" i="1"/>
  <c r="P255" i="1"/>
  <c r="AB255" i="1"/>
  <c r="L255" i="1"/>
  <c r="N255" i="1"/>
  <c r="R255" i="1"/>
  <c r="U255" i="1"/>
  <c r="Y255" i="1"/>
  <c r="D255" i="1"/>
  <c r="AF255" i="1"/>
  <c r="AJ255" i="1"/>
  <c r="B256" i="1"/>
  <c r="F256" i="1"/>
  <c r="I256" i="1"/>
  <c r="P256" i="1"/>
  <c r="AB256" i="1"/>
  <c r="L256" i="1"/>
  <c r="N256" i="1"/>
  <c r="R256" i="1"/>
  <c r="U256" i="1"/>
  <c r="Y256" i="1"/>
  <c r="D256" i="1"/>
  <c r="AF256" i="1"/>
  <c r="AJ256" i="1"/>
  <c r="B257" i="1"/>
  <c r="F257" i="1"/>
  <c r="I257" i="1"/>
  <c r="P257" i="1"/>
  <c r="AB257" i="1"/>
  <c r="L257" i="1"/>
  <c r="N257" i="1"/>
  <c r="R257" i="1"/>
  <c r="U257" i="1"/>
  <c r="Y257" i="1"/>
  <c r="D257" i="1"/>
  <c r="AF257" i="1"/>
  <c r="AJ257" i="1"/>
  <c r="B258" i="1"/>
  <c r="F258" i="1"/>
  <c r="I258" i="1"/>
  <c r="P258" i="1"/>
  <c r="AB258" i="1"/>
  <c r="L258" i="1"/>
  <c r="N258" i="1"/>
  <c r="R258" i="1"/>
  <c r="U258" i="1"/>
  <c r="Y258" i="1"/>
  <c r="D258" i="1"/>
  <c r="AF258" i="1"/>
  <c r="AJ258" i="1"/>
  <c r="B259" i="1"/>
  <c r="F259" i="1"/>
  <c r="I259" i="1"/>
  <c r="P259" i="1"/>
  <c r="AB259" i="1"/>
  <c r="L259" i="1"/>
  <c r="N259" i="1"/>
  <c r="R259" i="1"/>
  <c r="U259" i="1"/>
  <c r="Y259" i="1"/>
  <c r="D259" i="1"/>
  <c r="AF259" i="1"/>
  <c r="AJ259" i="1"/>
  <c r="B260" i="1"/>
  <c r="F260" i="1"/>
  <c r="I260" i="1"/>
  <c r="P260" i="1"/>
  <c r="AB260" i="1"/>
  <c r="L260" i="1"/>
  <c r="N260" i="1"/>
  <c r="R260" i="1"/>
  <c r="U260" i="1"/>
  <c r="Y260" i="1"/>
  <c r="D260" i="1"/>
  <c r="AF260" i="1"/>
  <c r="AJ260" i="1"/>
  <c r="B261" i="1"/>
  <c r="F261" i="1"/>
  <c r="I261" i="1"/>
  <c r="P261" i="1"/>
  <c r="AB261" i="1"/>
  <c r="L261" i="1"/>
  <c r="N261" i="1"/>
  <c r="R261" i="1"/>
  <c r="U261" i="1"/>
  <c r="Y261" i="1"/>
  <c r="D261" i="1"/>
  <c r="AF261" i="1"/>
  <c r="AJ261" i="1"/>
  <c r="B262" i="1"/>
  <c r="F262" i="1"/>
  <c r="I262" i="1"/>
  <c r="P262" i="1"/>
  <c r="AB262" i="1"/>
  <c r="L262" i="1"/>
  <c r="N262" i="1"/>
  <c r="R262" i="1"/>
  <c r="U262" i="1"/>
  <c r="Y262" i="1"/>
  <c r="D262" i="1"/>
  <c r="AF262" i="1"/>
  <c r="AJ262" i="1"/>
  <c r="B263" i="1"/>
  <c r="F263" i="1"/>
  <c r="I263" i="1"/>
  <c r="P263" i="1"/>
  <c r="AB263" i="1"/>
  <c r="L263" i="1"/>
  <c r="N263" i="1"/>
  <c r="R263" i="1"/>
  <c r="U263" i="1"/>
  <c r="Y263" i="1"/>
  <c r="D263" i="1"/>
  <c r="AF263" i="1"/>
  <c r="AJ263" i="1"/>
  <c r="B264" i="1"/>
  <c r="F264" i="1"/>
  <c r="I264" i="1"/>
  <c r="P264" i="1"/>
  <c r="AB264" i="1"/>
  <c r="L264" i="1"/>
  <c r="N264" i="1"/>
  <c r="R264" i="1"/>
  <c r="U264" i="1"/>
  <c r="Y264" i="1"/>
  <c r="D264" i="1"/>
  <c r="AF264" i="1"/>
  <c r="AJ264" i="1"/>
  <c r="B265" i="1"/>
  <c r="F265" i="1"/>
  <c r="I265" i="1"/>
  <c r="P265" i="1"/>
  <c r="AB265" i="1"/>
  <c r="L265" i="1"/>
  <c r="N265" i="1"/>
  <c r="R265" i="1"/>
  <c r="U265" i="1"/>
  <c r="Y265" i="1"/>
  <c r="D265" i="1"/>
  <c r="AF265" i="1"/>
  <c r="AJ265" i="1"/>
  <c r="B266" i="1"/>
  <c r="F266" i="1"/>
  <c r="I266" i="1"/>
  <c r="P266" i="1"/>
  <c r="AB266" i="1"/>
  <c r="L266" i="1"/>
  <c r="N266" i="1"/>
  <c r="R266" i="1"/>
  <c r="U266" i="1"/>
  <c r="Y266" i="1"/>
  <c r="D266" i="1"/>
  <c r="AF266" i="1"/>
  <c r="AJ266" i="1"/>
  <c r="B267" i="1"/>
  <c r="F267" i="1"/>
  <c r="I267" i="1"/>
  <c r="P267" i="1"/>
  <c r="AB267" i="1"/>
  <c r="L267" i="1"/>
  <c r="N267" i="1"/>
  <c r="R267" i="1"/>
  <c r="U267" i="1"/>
  <c r="Y267" i="1"/>
  <c r="D267" i="1"/>
  <c r="AF267" i="1"/>
  <c r="AJ267" i="1"/>
  <c r="B268" i="1"/>
  <c r="F268" i="1"/>
  <c r="I268" i="1"/>
  <c r="P268" i="1"/>
  <c r="AB268" i="1"/>
  <c r="L268" i="1"/>
  <c r="N268" i="1"/>
  <c r="R268" i="1"/>
  <c r="U268" i="1"/>
  <c r="Y268" i="1"/>
  <c r="D268" i="1"/>
  <c r="AF268" i="1"/>
  <c r="AJ268" i="1"/>
  <c r="B269" i="1"/>
  <c r="F269" i="1"/>
  <c r="I269" i="1"/>
  <c r="P269" i="1"/>
  <c r="AB269" i="1"/>
  <c r="L269" i="1"/>
  <c r="N269" i="1"/>
  <c r="R269" i="1"/>
  <c r="U269" i="1"/>
  <c r="Y269" i="1"/>
  <c r="D269" i="1"/>
  <c r="AF269" i="1"/>
  <c r="AJ269" i="1"/>
  <c r="B270" i="1"/>
  <c r="F270" i="1"/>
  <c r="I270" i="1"/>
  <c r="P270" i="1"/>
  <c r="AB270" i="1"/>
  <c r="L270" i="1"/>
  <c r="N270" i="1"/>
  <c r="R270" i="1"/>
  <c r="U270" i="1"/>
  <c r="Y270" i="1"/>
  <c r="D270" i="1"/>
  <c r="AF270" i="1"/>
  <c r="AJ270" i="1"/>
  <c r="B271" i="1"/>
  <c r="F271" i="1"/>
  <c r="I271" i="1"/>
  <c r="P271" i="1"/>
  <c r="AB271" i="1"/>
  <c r="L271" i="1"/>
  <c r="N271" i="1"/>
  <c r="R271" i="1"/>
  <c r="U271" i="1"/>
  <c r="Y271" i="1"/>
  <c r="D271" i="1"/>
  <c r="AF271" i="1"/>
  <c r="AJ271" i="1"/>
  <c r="B272" i="1"/>
  <c r="F272" i="1"/>
  <c r="I272" i="1"/>
  <c r="P272" i="1"/>
  <c r="AB272" i="1"/>
  <c r="L272" i="1"/>
  <c r="N272" i="1"/>
  <c r="R272" i="1"/>
  <c r="U272" i="1"/>
  <c r="Y272" i="1"/>
  <c r="D272" i="1"/>
  <c r="AF272" i="1"/>
  <c r="AJ272" i="1"/>
  <c r="B273" i="1"/>
  <c r="F273" i="1"/>
  <c r="I273" i="1"/>
  <c r="P273" i="1"/>
  <c r="AB273" i="1"/>
  <c r="L273" i="1"/>
  <c r="N273" i="1"/>
  <c r="R273" i="1"/>
  <c r="U273" i="1"/>
  <c r="Y273" i="1"/>
  <c r="D273" i="1"/>
  <c r="AF273" i="1"/>
  <c r="AJ273" i="1"/>
  <c r="B274" i="1"/>
  <c r="F274" i="1"/>
  <c r="I274" i="1"/>
  <c r="P274" i="1"/>
  <c r="AB274" i="1"/>
  <c r="L274" i="1"/>
  <c r="N274" i="1"/>
  <c r="R274" i="1"/>
  <c r="U274" i="1"/>
  <c r="Y274" i="1"/>
  <c r="D274" i="1"/>
  <c r="AF274" i="1"/>
  <c r="AJ274" i="1"/>
  <c r="B275" i="1"/>
  <c r="F275" i="1"/>
  <c r="I275" i="1"/>
  <c r="P275" i="1"/>
  <c r="AB275" i="1"/>
  <c r="L275" i="1"/>
  <c r="N275" i="1"/>
  <c r="R275" i="1"/>
  <c r="U275" i="1"/>
  <c r="Y275" i="1"/>
  <c r="D275" i="1"/>
  <c r="AF275" i="1"/>
  <c r="AJ275" i="1"/>
  <c r="B276" i="1"/>
  <c r="F276" i="1"/>
  <c r="I276" i="1"/>
  <c r="P276" i="1"/>
  <c r="AB276" i="1"/>
  <c r="L276" i="1"/>
  <c r="N276" i="1"/>
  <c r="R276" i="1"/>
  <c r="U276" i="1"/>
  <c r="Y276" i="1"/>
  <c r="D276" i="1"/>
  <c r="AF276" i="1"/>
  <c r="AJ276" i="1"/>
  <c r="B277" i="1"/>
  <c r="F277" i="1"/>
  <c r="I277" i="1"/>
  <c r="P277" i="1"/>
  <c r="AB277" i="1"/>
  <c r="L277" i="1"/>
  <c r="N277" i="1"/>
  <c r="R277" i="1"/>
  <c r="U277" i="1"/>
  <c r="Y277" i="1"/>
  <c r="D277" i="1"/>
  <c r="AF277" i="1"/>
  <c r="AJ277" i="1"/>
  <c r="B278" i="1"/>
  <c r="F278" i="1"/>
  <c r="I278" i="1"/>
  <c r="P278" i="1"/>
  <c r="AB278" i="1"/>
  <c r="L278" i="1"/>
  <c r="N278" i="1"/>
  <c r="R278" i="1"/>
  <c r="U278" i="1"/>
  <c r="Y278" i="1"/>
  <c r="D278" i="1"/>
  <c r="AF278" i="1"/>
  <c r="AJ278" i="1"/>
  <c r="B279" i="1"/>
  <c r="F279" i="1"/>
  <c r="I279" i="1"/>
  <c r="P279" i="1"/>
  <c r="AB279" i="1"/>
  <c r="L279" i="1"/>
  <c r="N279" i="1"/>
  <c r="R279" i="1"/>
  <c r="U279" i="1"/>
  <c r="Y279" i="1"/>
  <c r="D279" i="1"/>
  <c r="AF279" i="1"/>
  <c r="AJ279" i="1"/>
  <c r="B280" i="1"/>
  <c r="F280" i="1"/>
  <c r="I280" i="1"/>
  <c r="P280" i="1"/>
  <c r="AB280" i="1"/>
  <c r="L280" i="1"/>
  <c r="N280" i="1"/>
  <c r="R280" i="1"/>
  <c r="U280" i="1"/>
  <c r="Y280" i="1"/>
  <c r="D280" i="1"/>
  <c r="AF280" i="1"/>
  <c r="AJ280" i="1"/>
  <c r="B281" i="1"/>
  <c r="F281" i="1"/>
  <c r="I281" i="1"/>
  <c r="P281" i="1"/>
  <c r="AB281" i="1"/>
  <c r="L281" i="1"/>
  <c r="N281" i="1"/>
  <c r="R281" i="1"/>
  <c r="U281" i="1"/>
  <c r="Y281" i="1"/>
  <c r="D281" i="1"/>
  <c r="AF281" i="1"/>
  <c r="AJ281" i="1"/>
  <c r="B282" i="1"/>
  <c r="F282" i="1"/>
  <c r="I282" i="1"/>
  <c r="P282" i="1"/>
  <c r="AB282" i="1"/>
  <c r="L282" i="1"/>
  <c r="N282" i="1"/>
  <c r="R282" i="1"/>
  <c r="U282" i="1"/>
  <c r="Y282" i="1"/>
  <c r="D282" i="1"/>
  <c r="AF282" i="1"/>
  <c r="AJ282" i="1"/>
  <c r="B283" i="1"/>
  <c r="F283" i="1"/>
  <c r="I283" i="1"/>
  <c r="P283" i="1"/>
  <c r="AB283" i="1"/>
  <c r="L283" i="1"/>
  <c r="N283" i="1"/>
  <c r="R283" i="1"/>
  <c r="U283" i="1"/>
  <c r="Y283" i="1"/>
  <c r="D283" i="1"/>
  <c r="AF283" i="1"/>
  <c r="AJ283" i="1"/>
  <c r="B284" i="1"/>
  <c r="F284" i="1"/>
  <c r="I284" i="1"/>
  <c r="P284" i="1"/>
  <c r="AB284" i="1"/>
  <c r="L284" i="1"/>
  <c r="N284" i="1"/>
  <c r="R284" i="1"/>
  <c r="U284" i="1"/>
  <c r="Y284" i="1"/>
  <c r="D284" i="1"/>
  <c r="AF284" i="1"/>
  <c r="AJ284" i="1"/>
  <c r="B285" i="1"/>
  <c r="F285" i="1"/>
  <c r="I285" i="1"/>
  <c r="P285" i="1"/>
  <c r="AB285" i="1"/>
  <c r="L285" i="1"/>
  <c r="N285" i="1"/>
  <c r="R285" i="1"/>
  <c r="U285" i="1"/>
  <c r="Y285" i="1"/>
  <c r="D285" i="1"/>
  <c r="AF285" i="1"/>
  <c r="AJ285" i="1"/>
  <c r="B286" i="1"/>
  <c r="F286" i="1"/>
  <c r="I286" i="1"/>
  <c r="P286" i="1"/>
  <c r="AB286" i="1"/>
  <c r="L286" i="1"/>
  <c r="N286" i="1"/>
  <c r="R286" i="1"/>
  <c r="U286" i="1"/>
  <c r="Y286" i="1"/>
  <c r="D286" i="1"/>
  <c r="AF286" i="1"/>
  <c r="AJ286" i="1"/>
  <c r="B287" i="1"/>
  <c r="F287" i="1"/>
  <c r="I287" i="1"/>
  <c r="P287" i="1"/>
  <c r="AB287" i="1"/>
  <c r="L287" i="1"/>
  <c r="N287" i="1"/>
  <c r="R287" i="1"/>
  <c r="U287" i="1"/>
  <c r="Y287" i="1"/>
  <c r="D287" i="1"/>
  <c r="AF287" i="1"/>
  <c r="AJ287" i="1"/>
  <c r="B288" i="1"/>
  <c r="F288" i="1"/>
  <c r="I288" i="1"/>
  <c r="P288" i="1"/>
  <c r="AB288" i="1"/>
  <c r="L288" i="1"/>
  <c r="N288" i="1"/>
  <c r="R288" i="1"/>
  <c r="U288" i="1"/>
  <c r="Y288" i="1"/>
  <c r="D288" i="1"/>
  <c r="AF288" i="1"/>
  <c r="AJ288" i="1"/>
  <c r="B289" i="1"/>
  <c r="F289" i="1"/>
  <c r="I289" i="1"/>
  <c r="P289" i="1"/>
  <c r="AB289" i="1"/>
  <c r="L289" i="1"/>
  <c r="N289" i="1"/>
  <c r="R289" i="1"/>
  <c r="U289" i="1"/>
  <c r="Y289" i="1"/>
  <c r="D289" i="1"/>
  <c r="AF289" i="1"/>
  <c r="AJ289" i="1"/>
  <c r="B290" i="1"/>
  <c r="F290" i="1"/>
  <c r="I290" i="1"/>
  <c r="P290" i="1"/>
  <c r="AB290" i="1"/>
  <c r="L290" i="1"/>
  <c r="N290" i="1"/>
  <c r="R290" i="1"/>
  <c r="U290" i="1"/>
  <c r="Y290" i="1"/>
  <c r="D290" i="1"/>
  <c r="AF290" i="1"/>
  <c r="AJ290" i="1"/>
  <c r="B291" i="1"/>
  <c r="F291" i="1"/>
  <c r="I291" i="1"/>
  <c r="P291" i="1"/>
  <c r="AB291" i="1"/>
  <c r="L291" i="1"/>
  <c r="N291" i="1"/>
  <c r="R291" i="1"/>
  <c r="U291" i="1"/>
  <c r="Y291" i="1"/>
  <c r="D291" i="1"/>
  <c r="AF291" i="1"/>
  <c r="AJ291" i="1"/>
  <c r="B292" i="1"/>
  <c r="F292" i="1"/>
  <c r="I292" i="1"/>
  <c r="P292" i="1"/>
  <c r="AB292" i="1"/>
  <c r="L292" i="1"/>
  <c r="N292" i="1"/>
  <c r="R292" i="1"/>
  <c r="U292" i="1"/>
  <c r="Y292" i="1"/>
  <c r="D292" i="1"/>
  <c r="AF292" i="1"/>
  <c r="AJ292" i="1"/>
  <c r="B293" i="1"/>
  <c r="F293" i="1"/>
  <c r="I293" i="1"/>
  <c r="P293" i="1"/>
  <c r="AB293" i="1"/>
  <c r="L293" i="1"/>
  <c r="N293" i="1"/>
  <c r="R293" i="1"/>
  <c r="U293" i="1"/>
  <c r="Y293" i="1"/>
  <c r="D293" i="1"/>
  <c r="AF293" i="1"/>
  <c r="AJ293" i="1"/>
  <c r="B294" i="1"/>
  <c r="F294" i="1"/>
  <c r="I294" i="1"/>
  <c r="P294" i="1"/>
  <c r="AB294" i="1"/>
  <c r="L294" i="1"/>
  <c r="N294" i="1"/>
  <c r="R294" i="1"/>
  <c r="U294" i="1"/>
  <c r="Y294" i="1"/>
  <c r="D294" i="1"/>
  <c r="AF294" i="1"/>
  <c r="AJ294" i="1"/>
  <c r="B295" i="1"/>
  <c r="F295" i="1"/>
  <c r="I295" i="1"/>
  <c r="P295" i="1"/>
  <c r="AB295" i="1"/>
  <c r="L295" i="1"/>
  <c r="N295" i="1"/>
  <c r="R295" i="1"/>
  <c r="U295" i="1"/>
  <c r="Y295" i="1"/>
  <c r="D295" i="1"/>
  <c r="AF295" i="1"/>
  <c r="AJ295" i="1"/>
  <c r="B296" i="1"/>
  <c r="F296" i="1"/>
  <c r="I296" i="1"/>
  <c r="P296" i="1"/>
  <c r="AB296" i="1"/>
  <c r="L296" i="1"/>
  <c r="N296" i="1"/>
  <c r="R296" i="1"/>
  <c r="U296" i="1"/>
  <c r="Y296" i="1"/>
  <c r="D296" i="1"/>
  <c r="AF296" i="1"/>
  <c r="AJ296" i="1"/>
  <c r="B297" i="1"/>
  <c r="F297" i="1"/>
  <c r="I297" i="1"/>
  <c r="P297" i="1"/>
  <c r="AB297" i="1"/>
  <c r="L297" i="1"/>
  <c r="N297" i="1"/>
  <c r="R297" i="1"/>
  <c r="U297" i="1"/>
  <c r="Y297" i="1"/>
  <c r="D297" i="1"/>
  <c r="AF297" i="1"/>
  <c r="AJ297" i="1"/>
  <c r="B298" i="1"/>
  <c r="F298" i="1"/>
  <c r="I298" i="1"/>
  <c r="P298" i="1"/>
  <c r="AB298" i="1"/>
  <c r="L298" i="1"/>
  <c r="N298" i="1"/>
  <c r="R298" i="1"/>
  <c r="U298" i="1"/>
  <c r="Y298" i="1"/>
  <c r="D298" i="1"/>
  <c r="AF298" i="1"/>
  <c r="AJ298" i="1"/>
  <c r="B299" i="1"/>
  <c r="F299" i="1"/>
  <c r="I299" i="1"/>
  <c r="P299" i="1"/>
  <c r="AB299" i="1"/>
  <c r="L299" i="1"/>
  <c r="N299" i="1"/>
  <c r="R299" i="1"/>
  <c r="U299" i="1"/>
  <c r="Y299" i="1"/>
  <c r="D299" i="1"/>
  <c r="AF299" i="1"/>
  <c r="AJ299" i="1"/>
  <c r="B300" i="1"/>
  <c r="F300" i="1"/>
  <c r="I300" i="1"/>
  <c r="P300" i="1"/>
  <c r="AB300" i="1"/>
  <c r="L300" i="1"/>
  <c r="N300" i="1"/>
  <c r="R300" i="1"/>
  <c r="U300" i="1"/>
  <c r="Y300" i="1"/>
  <c r="D300" i="1"/>
  <c r="AF300" i="1"/>
  <c r="AJ300" i="1"/>
  <c r="B301" i="1"/>
  <c r="F301" i="1"/>
  <c r="I301" i="1"/>
  <c r="P301" i="1"/>
  <c r="AB301" i="1"/>
  <c r="L301" i="1"/>
  <c r="N301" i="1"/>
  <c r="R301" i="1"/>
  <c r="U301" i="1"/>
  <c r="Y301" i="1"/>
  <c r="D301" i="1"/>
  <c r="AF301" i="1"/>
  <c r="AJ301" i="1"/>
  <c r="B302" i="1"/>
  <c r="F302" i="1"/>
  <c r="I302" i="1"/>
  <c r="P302" i="1"/>
  <c r="AB302" i="1"/>
  <c r="L302" i="1"/>
  <c r="N302" i="1"/>
  <c r="R302" i="1"/>
  <c r="U302" i="1"/>
  <c r="Y302" i="1"/>
  <c r="D302" i="1"/>
  <c r="AF302" i="1"/>
  <c r="AJ302" i="1"/>
  <c r="B303" i="1"/>
  <c r="F303" i="1"/>
  <c r="I303" i="1"/>
  <c r="P303" i="1"/>
  <c r="AB303" i="1"/>
  <c r="L303" i="1"/>
  <c r="N303" i="1"/>
  <c r="R303" i="1"/>
  <c r="U303" i="1"/>
  <c r="Y303" i="1"/>
  <c r="D303" i="1"/>
  <c r="AF303" i="1"/>
  <c r="AJ303" i="1"/>
  <c r="B304" i="1"/>
  <c r="F304" i="1"/>
  <c r="I304" i="1"/>
  <c r="P304" i="1"/>
  <c r="AB304" i="1"/>
  <c r="L304" i="1"/>
  <c r="N304" i="1"/>
  <c r="R304" i="1"/>
  <c r="U304" i="1"/>
  <c r="Y304" i="1"/>
  <c r="D304" i="1"/>
  <c r="AF304" i="1"/>
  <c r="AJ304" i="1"/>
  <c r="B305" i="1"/>
  <c r="F305" i="1"/>
  <c r="I305" i="1"/>
  <c r="P305" i="1"/>
  <c r="AB305" i="1"/>
  <c r="L305" i="1"/>
  <c r="N305" i="1"/>
  <c r="R305" i="1"/>
  <c r="U305" i="1"/>
  <c r="Y305" i="1"/>
  <c r="D305" i="1"/>
  <c r="AF305" i="1"/>
  <c r="AJ305" i="1"/>
  <c r="B306" i="1"/>
  <c r="F306" i="1"/>
  <c r="I306" i="1"/>
  <c r="P306" i="1"/>
  <c r="AB306" i="1"/>
  <c r="L306" i="1"/>
  <c r="N306" i="1"/>
  <c r="R306" i="1"/>
  <c r="U306" i="1"/>
  <c r="Y306" i="1"/>
  <c r="D306" i="1"/>
  <c r="AF306" i="1"/>
  <c r="AJ306" i="1"/>
  <c r="B307" i="1"/>
  <c r="F307" i="1"/>
  <c r="I307" i="1"/>
  <c r="P307" i="1"/>
  <c r="AB307" i="1"/>
  <c r="L307" i="1"/>
  <c r="N307" i="1"/>
  <c r="R307" i="1"/>
  <c r="U307" i="1"/>
  <c r="Y307" i="1"/>
  <c r="D307" i="1"/>
  <c r="AF307" i="1"/>
  <c r="AJ307" i="1"/>
  <c r="B308" i="1"/>
  <c r="F308" i="1"/>
  <c r="I308" i="1"/>
  <c r="P308" i="1"/>
  <c r="AB308" i="1"/>
  <c r="L308" i="1"/>
  <c r="N308" i="1"/>
  <c r="R308" i="1"/>
  <c r="U308" i="1"/>
  <c r="Y308" i="1"/>
  <c r="D308" i="1"/>
  <c r="AF308" i="1"/>
  <c r="AJ308" i="1"/>
  <c r="B309" i="1"/>
  <c r="F309" i="1"/>
  <c r="I309" i="1"/>
  <c r="P309" i="1"/>
  <c r="AB309" i="1"/>
  <c r="L309" i="1"/>
  <c r="N309" i="1"/>
  <c r="R309" i="1"/>
  <c r="U309" i="1"/>
  <c r="Y309" i="1"/>
  <c r="D309" i="1"/>
  <c r="AF309" i="1"/>
  <c r="AJ309" i="1"/>
  <c r="B310" i="1"/>
  <c r="F310" i="1"/>
  <c r="I310" i="1"/>
  <c r="P310" i="1"/>
  <c r="AB310" i="1"/>
  <c r="L310" i="1"/>
  <c r="N310" i="1"/>
  <c r="R310" i="1"/>
  <c r="U310" i="1"/>
  <c r="Y310" i="1"/>
  <c r="D310" i="1"/>
  <c r="AF310" i="1"/>
  <c r="AJ310" i="1"/>
  <c r="B311" i="1"/>
  <c r="F311" i="1"/>
  <c r="I311" i="1"/>
  <c r="P311" i="1"/>
  <c r="AB311" i="1"/>
  <c r="L311" i="1"/>
  <c r="N311" i="1"/>
  <c r="R311" i="1"/>
  <c r="U311" i="1"/>
  <c r="Y311" i="1"/>
  <c r="D311" i="1"/>
  <c r="AF311" i="1"/>
  <c r="AJ311" i="1"/>
  <c r="B312" i="1"/>
  <c r="F312" i="1"/>
  <c r="I312" i="1"/>
  <c r="P312" i="1"/>
  <c r="AB312" i="1"/>
  <c r="L312" i="1"/>
  <c r="N312" i="1"/>
  <c r="R312" i="1"/>
  <c r="U312" i="1"/>
  <c r="Y312" i="1"/>
  <c r="D312" i="1"/>
  <c r="AF312" i="1"/>
  <c r="AJ312" i="1"/>
  <c r="B313" i="1"/>
  <c r="F313" i="1"/>
  <c r="I313" i="1"/>
  <c r="P313" i="1"/>
  <c r="AB313" i="1"/>
  <c r="L313" i="1"/>
  <c r="N313" i="1"/>
  <c r="R313" i="1"/>
  <c r="U313" i="1"/>
  <c r="Y313" i="1"/>
  <c r="D313" i="1"/>
  <c r="AF313" i="1"/>
  <c r="AJ313" i="1"/>
  <c r="B314" i="1"/>
  <c r="F314" i="1"/>
  <c r="I314" i="1"/>
  <c r="P314" i="1"/>
  <c r="AB314" i="1"/>
  <c r="L314" i="1"/>
  <c r="N314" i="1"/>
  <c r="R314" i="1"/>
  <c r="U314" i="1"/>
  <c r="Y314" i="1"/>
  <c r="D314" i="1"/>
  <c r="AF314" i="1"/>
  <c r="AJ314" i="1"/>
  <c r="B315" i="1"/>
  <c r="F315" i="1"/>
  <c r="I315" i="1"/>
  <c r="P315" i="1"/>
  <c r="AB315" i="1"/>
  <c r="L315" i="1"/>
  <c r="N315" i="1"/>
  <c r="R315" i="1"/>
  <c r="U315" i="1"/>
  <c r="Y315" i="1"/>
  <c r="D315" i="1"/>
  <c r="AF315" i="1"/>
  <c r="AJ315" i="1"/>
  <c r="B316" i="1"/>
  <c r="F316" i="1"/>
  <c r="I316" i="1"/>
  <c r="P316" i="1"/>
  <c r="AB316" i="1"/>
  <c r="L316" i="1"/>
  <c r="N316" i="1"/>
  <c r="R316" i="1"/>
  <c r="U316" i="1"/>
  <c r="Y316" i="1"/>
  <c r="D316" i="1"/>
  <c r="AF316" i="1"/>
  <c r="AJ316" i="1"/>
  <c r="B317" i="1"/>
  <c r="F317" i="1"/>
  <c r="I317" i="1"/>
  <c r="P317" i="1"/>
  <c r="AB317" i="1"/>
  <c r="L317" i="1"/>
  <c r="N317" i="1"/>
  <c r="R317" i="1"/>
  <c r="U317" i="1"/>
  <c r="Y317" i="1"/>
  <c r="D317" i="1"/>
  <c r="AF317" i="1"/>
  <c r="AJ317" i="1"/>
  <c r="F33" i="2"/>
  <c r="F25" i="2"/>
  <c r="I20" i="6"/>
  <c r="F29" i="2"/>
  <c r="F31" i="2"/>
  <c r="F35" i="2"/>
  <c r="F15" i="2"/>
  <c r="D49" i="2"/>
  <c r="F13" i="2"/>
  <c r="D62" i="2"/>
  <c r="E71" i="2"/>
  <c r="E75" i="2"/>
  <c r="F9" i="2"/>
  <c r="E79" i="2"/>
  <c r="E86" i="2"/>
  <c r="F27" i="2"/>
  <c r="I10" i="6"/>
  <c r="F11" i="2"/>
  <c r="E90" i="2"/>
  <c r="D44" i="13"/>
  <c r="I8" i="6"/>
  <c r="M8" i="1"/>
  <c r="M30" i="1"/>
  <c r="F94" i="2"/>
  <c r="D96" i="2"/>
  <c r="D63" i="2"/>
  <c r="D41" i="2"/>
  <c r="I34" i="6"/>
  <c r="M17" i="3"/>
  <c r="B114" i="3"/>
  <c r="J10" i="6"/>
  <c r="J9" i="6"/>
  <c r="J8" i="6"/>
  <c r="J7" i="6"/>
  <c r="J18" i="6"/>
  <c r="J17" i="6"/>
  <c r="J16" i="6"/>
  <c r="J34" i="6"/>
  <c r="I33" i="6"/>
  <c r="J33" i="6"/>
  <c r="L10" i="18"/>
  <c r="L12" i="18"/>
  <c r="H10" i="18"/>
  <c r="H12" i="18"/>
  <c r="D10" i="18"/>
  <c r="D12" i="18"/>
  <c r="N10" i="18"/>
  <c r="N12" i="18"/>
  <c r="J10" i="18"/>
  <c r="J12" i="18"/>
  <c r="F10" i="18"/>
  <c r="F12" i="18"/>
  <c r="B10" i="18"/>
  <c r="B12" i="18"/>
  <c r="L4" i="18"/>
  <c r="L6" i="18"/>
  <c r="H4" i="18"/>
  <c r="H6" i="18"/>
  <c r="D4" i="18"/>
  <c r="D6" i="18"/>
  <c r="N4" i="18"/>
  <c r="N6" i="18"/>
  <c r="J4" i="18"/>
  <c r="J6" i="18"/>
  <c r="F4" i="18"/>
  <c r="F6" i="18"/>
  <c r="B4" i="18"/>
  <c r="B6" i="18"/>
  <c r="F16" i="5"/>
  <c r="J32" i="6"/>
  <c r="M19"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J30" i="6"/>
  <c r="F19" i="5"/>
  <c r="F17" i="5"/>
  <c r="F24" i="5"/>
  <c r="F25" i="5"/>
  <c r="D52" i="6"/>
  <c r="Q89" i="1"/>
  <c r="D48" i="6"/>
  <c r="J31" i="6"/>
  <c r="J29" i="6"/>
  <c r="J28" i="6"/>
  <c r="J27" i="6"/>
  <c r="J26" i="6"/>
  <c r="M13" i="3"/>
  <c r="J25" i="6"/>
  <c r="J24" i="6"/>
  <c r="J23" i="6"/>
  <c r="J22" i="6"/>
  <c r="M11" i="3"/>
  <c r="J21" i="6"/>
  <c r="J20" i="6"/>
  <c r="M10" i="3"/>
  <c r="J19" i="6"/>
  <c r="F27" i="5"/>
  <c r="M8" i="3"/>
  <c r="Q90" i="1"/>
  <c r="M15" i="3"/>
  <c r="M14" i="3"/>
  <c r="M9" i="3"/>
  <c r="F29" i="5"/>
  <c r="H49" i="5"/>
  <c r="A44" i="5"/>
  <c r="M12" i="3"/>
  <c r="M6" i="3"/>
  <c r="R86" i="3"/>
  <c r="M16" i="3"/>
  <c r="M7" i="3"/>
  <c r="M18" i="3"/>
  <c r="T32" i="3"/>
  <c r="D200" i="3"/>
  <c r="D245" i="3"/>
  <c r="D138" i="3"/>
  <c r="D247" i="3"/>
  <c r="D139" i="3"/>
  <c r="F30" i="5"/>
  <c r="I31" i="3"/>
  <c r="D236" i="3"/>
  <c r="D241" i="3"/>
  <c r="D131" i="3"/>
  <c r="D225" i="3"/>
  <c r="D228" i="3"/>
  <c r="D159" i="3"/>
  <c r="D201" i="3"/>
  <c r="D218" i="3"/>
  <c r="D180" i="3"/>
  <c r="D260" i="3"/>
  <c r="D220" i="3"/>
  <c r="D253" i="3"/>
  <c r="D190" i="3"/>
  <c r="D243" i="3"/>
  <c r="D166" i="3"/>
  <c r="D235" i="3"/>
  <c r="D137" i="3"/>
  <c r="D234" i="3"/>
  <c r="D203" i="3"/>
  <c r="D145" i="3"/>
  <c r="D172" i="3"/>
  <c r="D127" i="3"/>
  <c r="D231" i="3"/>
  <c r="D165" i="3"/>
  <c r="D216" i="3"/>
  <c r="D142" i="3"/>
  <c r="D135" i="3"/>
  <c r="D229" i="3"/>
  <c r="D177" i="3"/>
  <c r="D171" i="3"/>
  <c r="D151" i="3"/>
  <c r="D250" i="3"/>
  <c r="D118" i="3"/>
  <c r="D204" i="3"/>
  <c r="D129" i="3"/>
  <c r="D261" i="3"/>
  <c r="D115" i="3"/>
  <c r="D170" i="3"/>
  <c r="D183" i="3"/>
  <c r="D126" i="3"/>
  <c r="D154" i="3"/>
  <c r="D124" i="3"/>
  <c r="D174" i="3"/>
  <c r="D248" i="3"/>
  <c r="D199" i="3"/>
  <c r="D148" i="3"/>
  <c r="D158" i="3"/>
  <c r="D168" i="3"/>
  <c r="D143" i="3"/>
  <c r="D206" i="3"/>
  <c r="D175" i="3"/>
  <c r="D157" i="3"/>
  <c r="D240" i="3"/>
  <c r="D176" i="3"/>
  <c r="D146" i="3"/>
  <c r="D130" i="3"/>
  <c r="D125" i="3"/>
  <c r="D252" i="3"/>
  <c r="D221" i="3"/>
  <c r="D208" i="3"/>
  <c r="D123" i="3"/>
  <c r="D140" i="3"/>
  <c r="D187" i="3"/>
  <c r="D238" i="3"/>
  <c r="D205" i="3"/>
  <c r="D155" i="3"/>
  <c r="D160" i="3"/>
  <c r="D182" i="3"/>
  <c r="D153" i="3"/>
  <c r="D188" i="3"/>
  <c r="D120" i="3"/>
  <c r="D191" i="3"/>
  <c r="D193" i="3"/>
  <c r="D232" i="3"/>
  <c r="D134" i="3"/>
  <c r="D116" i="3"/>
  <c r="D133" i="3"/>
  <c r="D114" i="3"/>
  <c r="D150" i="3"/>
  <c r="D259" i="3"/>
  <c r="D197" i="3"/>
  <c r="D258" i="3"/>
  <c r="D144" i="3"/>
  <c r="D128" i="3"/>
  <c r="D192" i="3"/>
  <c r="D242" i="3"/>
  <c r="D217" i="3"/>
  <c r="D213" i="3"/>
  <c r="D254" i="3"/>
  <c r="D194" i="3"/>
  <c r="D121" i="3"/>
  <c r="D239" i="3"/>
  <c r="D178" i="3"/>
  <c r="D181" i="3"/>
  <c r="D207" i="3"/>
  <c r="D119" i="3"/>
  <c r="D163" i="3"/>
  <c r="D263" i="3"/>
  <c r="D186" i="3"/>
  <c r="D233" i="3"/>
  <c r="D211" i="3"/>
  <c r="D209" i="3"/>
  <c r="D219" i="3"/>
  <c r="D141" i="3"/>
  <c r="D147" i="3"/>
  <c r="D132" i="3"/>
  <c r="D215" i="3"/>
  <c r="D257" i="3"/>
  <c r="D251" i="3"/>
  <c r="D122" i="3"/>
  <c r="D149" i="3"/>
  <c r="D198" i="3"/>
  <c r="D184" i="3"/>
  <c r="D246" i="3"/>
  <c r="D156" i="3"/>
  <c r="D173" i="3"/>
  <c r="D214" i="3"/>
  <c r="D227" i="3"/>
  <c r="D210" i="3"/>
  <c r="D136" i="3"/>
  <c r="D222" i="3"/>
  <c r="D195" i="3"/>
  <c r="D117" i="3"/>
  <c r="D152" i="3"/>
  <c r="D224" i="3"/>
  <c r="D226" i="3"/>
  <c r="D223" i="3"/>
  <c r="D179" i="3"/>
  <c r="D189" i="3"/>
  <c r="D185" i="3"/>
  <c r="D262" i="3"/>
  <c r="D249" i="3"/>
  <c r="R87" i="3"/>
  <c r="D244" i="3"/>
  <c r="D161" i="3"/>
  <c r="D255" i="3"/>
  <c r="D196" i="3"/>
  <c r="D164" i="3"/>
  <c r="D202" i="3"/>
  <c r="D230" i="3"/>
  <c r="D162" i="3"/>
  <c r="D169" i="3"/>
  <c r="D237" i="3"/>
  <c r="D167" i="3"/>
  <c r="D212" i="3"/>
  <c r="D256" i="3"/>
  <c r="I37" i="1"/>
  <c r="M24" i="3"/>
  <c r="I32" i="3"/>
  <c r="T33" i="3"/>
  <c r="M26" i="1"/>
  <c r="I33" i="3"/>
  <c r="L133" i="3"/>
  <c r="N133" i="3"/>
  <c r="C39" i="3"/>
  <c r="D101" i="2"/>
  <c r="I51" i="1"/>
  <c r="Q71" i="1"/>
  <c r="F51" i="6"/>
  <c r="I68" i="1"/>
  <c r="Q60" i="1"/>
  <c r="Q50" i="1"/>
  <c r="I50" i="1"/>
  <c r="AF236" i="3"/>
  <c r="Q127" i="3"/>
  <c r="F136" i="3"/>
  <c r="I136" i="3"/>
  <c r="V234" i="3"/>
  <c r="S145" i="3"/>
  <c r="F153" i="3"/>
  <c r="I153" i="3"/>
  <c r="S161" i="3"/>
  <c r="S147" i="3"/>
  <c r="F155" i="3"/>
  <c r="I155" i="3"/>
  <c r="L162" i="3"/>
  <c r="N162" i="3"/>
  <c r="F173" i="3"/>
  <c r="I173" i="3"/>
  <c r="F180" i="3"/>
  <c r="I180" i="3"/>
  <c r="Q186" i="3"/>
  <c r="Q188" i="3"/>
  <c r="L194" i="3"/>
  <c r="N194" i="3"/>
  <c r="F195" i="3"/>
  <c r="I195" i="3"/>
  <c r="S202" i="3"/>
  <c r="S179" i="3"/>
  <c r="F198" i="3"/>
  <c r="I198" i="3"/>
  <c r="F203" i="3"/>
  <c r="I203" i="3"/>
  <c r="S183" i="3"/>
  <c r="Q185" i="3"/>
  <c r="F191" i="3"/>
  <c r="I191" i="3"/>
  <c r="S192" i="3"/>
  <c r="S205" i="3"/>
  <c r="F207" i="3"/>
  <c r="I207" i="3"/>
  <c r="Q214" i="3"/>
  <c r="F209" i="3"/>
  <c r="I209" i="3"/>
  <c r="L222" i="3"/>
  <c r="N222" i="3"/>
  <c r="Q226" i="3"/>
  <c r="S245" i="3"/>
  <c r="S262" i="3"/>
  <c r="F212" i="3"/>
  <c r="I212" i="3"/>
  <c r="L232" i="3"/>
  <c r="N232" i="3"/>
  <c r="F239" i="3"/>
  <c r="I239" i="3"/>
  <c r="S252" i="3"/>
  <c r="L255" i="3"/>
  <c r="N255" i="3"/>
  <c r="Q194" i="3"/>
  <c r="L174" i="3"/>
  <c r="N174" i="3"/>
  <c r="F178" i="3"/>
  <c r="I178" i="3"/>
  <c r="L186" i="3"/>
  <c r="N186" i="3"/>
  <c r="S187" i="3"/>
  <c r="Q195" i="3"/>
  <c r="L197" i="3"/>
  <c r="N197" i="3"/>
  <c r="F204" i="3"/>
  <c r="I204" i="3"/>
  <c r="L209" i="3"/>
  <c r="N209" i="3"/>
  <c r="S211" i="3"/>
  <c r="F210" i="3"/>
  <c r="I210" i="3"/>
  <c r="Q215" i="3"/>
  <c r="F220" i="3"/>
  <c r="I220" i="3"/>
  <c r="L221" i="3"/>
  <c r="N221" i="3"/>
  <c r="L227" i="3"/>
  <c r="N227" i="3"/>
  <c r="Q232" i="3"/>
  <c r="S234" i="3"/>
  <c r="L238" i="3"/>
  <c r="N238" i="3"/>
  <c r="F241" i="3"/>
  <c r="I241" i="3"/>
  <c r="S248" i="3"/>
  <c r="F251" i="3"/>
  <c r="I251" i="3"/>
  <c r="S258" i="3"/>
  <c r="S206" i="3"/>
  <c r="Q208" i="3"/>
  <c r="F219" i="3"/>
  <c r="I219" i="3"/>
  <c r="F222" i="3"/>
  <c r="I222" i="3"/>
  <c r="Q230" i="3"/>
  <c r="S232" i="3"/>
  <c r="S242" i="3"/>
  <c r="F246" i="3"/>
  <c r="I246" i="3"/>
  <c r="F248" i="3"/>
  <c r="I248" i="3"/>
  <c r="S254" i="3"/>
  <c r="S255" i="3"/>
  <c r="S263" i="3"/>
  <c r="F118" i="3"/>
  <c r="I118" i="3"/>
  <c r="Q213" i="3"/>
  <c r="F215" i="3"/>
  <c r="I215" i="3"/>
  <c r="F224" i="3"/>
  <c r="I224" i="3"/>
  <c r="S227" i="3"/>
  <c r="Q235" i="3"/>
  <c r="L237" i="3"/>
  <c r="N237" i="3"/>
  <c r="L248" i="3"/>
  <c r="N248" i="3"/>
  <c r="Q251" i="3"/>
  <c r="S261" i="3"/>
  <c r="Q205" i="3"/>
  <c r="S221" i="3"/>
  <c r="S226" i="3"/>
  <c r="Q239" i="3"/>
  <c r="S243" i="3"/>
  <c r="S250" i="3"/>
  <c r="Q254" i="3"/>
  <c r="F114" i="3"/>
  <c r="I114" i="3"/>
  <c r="S50" i="3"/>
  <c r="I89" i="3"/>
  <c r="I48" i="3"/>
  <c r="T103" i="3"/>
  <c r="R73" i="3"/>
  <c r="I80" i="3"/>
  <c r="Z127" i="3"/>
  <c r="Z131" i="3"/>
  <c r="AC137" i="3"/>
  <c r="Z140" i="3"/>
  <c r="AC151" i="3"/>
  <c r="Z156" i="3"/>
  <c r="R79" i="3"/>
  <c r="AC116" i="3"/>
  <c r="AC126" i="3"/>
  <c r="Z128" i="3"/>
  <c r="AC134" i="3"/>
  <c r="Z126" i="3"/>
  <c r="Z138" i="3"/>
  <c r="AC158" i="3"/>
  <c r="AC164" i="3"/>
  <c r="AC146" i="3"/>
  <c r="Z163" i="3"/>
  <c r="Z165" i="3"/>
  <c r="AC170" i="3"/>
  <c r="AC188" i="3"/>
  <c r="AC194" i="3"/>
  <c r="Z204" i="3"/>
  <c r="Z159" i="3"/>
  <c r="AC147" i="3"/>
  <c r="AC150" i="3"/>
  <c r="AC161" i="3"/>
  <c r="Z172" i="3"/>
  <c r="AC175" i="3"/>
  <c r="AC189" i="3"/>
  <c r="AC199" i="3"/>
  <c r="Z170" i="3"/>
  <c r="Z181" i="3"/>
  <c r="Z184" i="3"/>
  <c r="AC195" i="3"/>
  <c r="AC212" i="3"/>
  <c r="AC208" i="3"/>
  <c r="Z188" i="3"/>
  <c r="Z206" i="3"/>
  <c r="Z210" i="3"/>
  <c r="AC214" i="3"/>
  <c r="Z227" i="3"/>
  <c r="AC231" i="3"/>
  <c r="Z233" i="3"/>
  <c r="AC237" i="3"/>
  <c r="AC242" i="3"/>
  <c r="Z243" i="3"/>
  <c r="Z248" i="3"/>
  <c r="Z254" i="3"/>
  <c r="Z255" i="3"/>
  <c r="Z256" i="3"/>
  <c r="Z258" i="3"/>
  <c r="AC263" i="3"/>
  <c r="AC218" i="3"/>
  <c r="Z225" i="3"/>
  <c r="AC227" i="3"/>
  <c r="AC239" i="3"/>
  <c r="Z245" i="3"/>
  <c r="Z249" i="3"/>
  <c r="Z250" i="3"/>
  <c r="AC256" i="3"/>
  <c r="AC258" i="3"/>
  <c r="AC259" i="3"/>
  <c r="Z260" i="3"/>
  <c r="Z212" i="3"/>
  <c r="Z221" i="3"/>
  <c r="Z226" i="3"/>
  <c r="AC233" i="3"/>
  <c r="Z235" i="3"/>
  <c r="AC246" i="3"/>
  <c r="Z253" i="3"/>
  <c r="Z257" i="3"/>
  <c r="Z261" i="3"/>
  <c r="AC215" i="3"/>
  <c r="Z224" i="3"/>
  <c r="AC229" i="3"/>
  <c r="AC232" i="3"/>
  <c r="AC236" i="3"/>
  <c r="Z247" i="3"/>
  <c r="Z252" i="3"/>
  <c r="AC262" i="3"/>
  <c r="Z215" i="3"/>
  <c r="AC224" i="3"/>
  <c r="Z234" i="3"/>
  <c r="Z236" i="3"/>
  <c r="AC238" i="3"/>
  <c r="Z240" i="3"/>
  <c r="Z262" i="3"/>
  <c r="Z219" i="3"/>
  <c r="AC221" i="3"/>
  <c r="Z223" i="3"/>
  <c r="Z230" i="3"/>
  <c r="AC241" i="3"/>
  <c r="AC244" i="3"/>
  <c r="Z246" i="3"/>
  <c r="Z263" i="3"/>
  <c r="L135" i="3"/>
  <c r="N135" i="3"/>
  <c r="L201" i="3"/>
  <c r="N201" i="3"/>
  <c r="S204" i="3"/>
  <c r="Q171" i="3"/>
  <c r="L127" i="3"/>
  <c r="N127" i="3"/>
  <c r="F160" i="3"/>
  <c r="I160" i="3"/>
  <c r="S140" i="3"/>
  <c r="L152" i="3"/>
  <c r="N152" i="3"/>
  <c r="AF207" i="3"/>
  <c r="F167" i="3"/>
  <c r="I167" i="3"/>
  <c r="F188" i="3"/>
  <c r="I188" i="3"/>
  <c r="L159" i="3"/>
  <c r="N159" i="3"/>
  <c r="F181" i="3"/>
  <c r="I181" i="3"/>
  <c r="L163" i="3"/>
  <c r="N163" i="3"/>
  <c r="F137" i="3"/>
  <c r="I137" i="3"/>
  <c r="Q160" i="3"/>
  <c r="S153" i="3"/>
  <c r="S165" i="3"/>
  <c r="L124" i="3"/>
  <c r="N124" i="3"/>
  <c r="S148" i="3"/>
  <c r="S119" i="3"/>
  <c r="Q167" i="3"/>
  <c r="V233" i="3"/>
  <c r="L161" i="3"/>
  <c r="N161" i="3"/>
  <c r="Q187" i="3"/>
  <c r="F157" i="3"/>
  <c r="I157" i="3"/>
  <c r="L173" i="3"/>
  <c r="N173" i="3"/>
  <c r="Q147" i="3"/>
  <c r="S144" i="3"/>
  <c r="L155" i="3"/>
  <c r="N155" i="3"/>
  <c r="S134" i="3"/>
  <c r="L140" i="3"/>
  <c r="N140" i="3"/>
  <c r="Q149" i="3"/>
  <c r="F138" i="3"/>
  <c r="I138" i="3"/>
  <c r="Q178" i="3"/>
  <c r="L145" i="3"/>
  <c r="N145" i="3"/>
  <c r="I65" i="3"/>
  <c r="L126" i="3"/>
  <c r="N126" i="3"/>
  <c r="S137" i="3"/>
  <c r="L137" i="3"/>
  <c r="N137" i="3"/>
  <c r="S133" i="3"/>
  <c r="F147" i="3"/>
  <c r="I147" i="3"/>
  <c r="F159" i="3"/>
  <c r="I159" i="3"/>
  <c r="L166" i="3"/>
  <c r="N166" i="3"/>
  <c r="Q146" i="3"/>
  <c r="S154" i="3"/>
  <c r="Q161" i="3"/>
  <c r="Q173" i="3"/>
  <c r="Q179" i="3"/>
  <c r="S188" i="3"/>
  <c r="V242" i="3"/>
  <c r="L130" i="3"/>
  <c r="N130" i="3"/>
  <c r="F140" i="3"/>
  <c r="I140" i="3"/>
  <c r="F125" i="3"/>
  <c r="I125" i="3"/>
  <c r="Q136" i="3"/>
  <c r="Q143" i="3"/>
  <c r="L151" i="3"/>
  <c r="N151" i="3"/>
  <c r="S160" i="3"/>
  <c r="Q166" i="3"/>
  <c r="F146" i="3"/>
  <c r="I146" i="3"/>
  <c r="F154" i="3"/>
  <c r="I154" i="3"/>
  <c r="F161" i="3"/>
  <c r="I161" i="3"/>
  <c r="Q172" i="3"/>
  <c r="L179" i="3"/>
  <c r="N179" i="3"/>
  <c r="L187" i="3"/>
  <c r="N187" i="3"/>
  <c r="S194" i="3"/>
  <c r="Q203" i="3"/>
  <c r="L178" i="3"/>
  <c r="N178" i="3"/>
  <c r="F202" i="3"/>
  <c r="I202" i="3"/>
  <c r="Q184" i="3"/>
  <c r="L192" i="3"/>
  <c r="N192" i="3"/>
  <c r="F200" i="3"/>
  <c r="I200" i="3"/>
  <c r="F206" i="3"/>
  <c r="I206" i="3"/>
  <c r="Q206" i="3"/>
  <c r="S225" i="3"/>
  <c r="F242" i="3"/>
  <c r="I242" i="3"/>
  <c r="L208" i="3"/>
  <c r="N208" i="3"/>
  <c r="S235" i="3"/>
  <c r="S253" i="3"/>
  <c r="S115" i="3"/>
  <c r="Q176" i="3"/>
  <c r="F186" i="3"/>
  <c r="I186" i="3"/>
  <c r="S196" i="3"/>
  <c r="L202" i="3"/>
  <c r="N202" i="3"/>
  <c r="S210" i="3"/>
  <c r="L212" i="3"/>
  <c r="N212" i="3"/>
  <c r="L220" i="3"/>
  <c r="N220" i="3"/>
  <c r="F227" i="3"/>
  <c r="I227" i="3"/>
  <c r="L233" i="3"/>
  <c r="N233" i="3"/>
  <c r="L240" i="3"/>
  <c r="N240" i="3"/>
  <c r="F250" i="3"/>
  <c r="I250" i="3"/>
  <c r="L258" i="3"/>
  <c r="N258" i="3"/>
  <c r="Q207" i="3"/>
  <c r="Q220" i="3"/>
  <c r="S231" i="3"/>
  <c r="Q240" i="3"/>
  <c r="L247" i="3"/>
  <c r="N247" i="3"/>
  <c r="F255" i="3"/>
  <c r="I255" i="3"/>
  <c r="F263" i="3"/>
  <c r="I263" i="3"/>
  <c r="Q211" i="3"/>
  <c r="Q225" i="3"/>
  <c r="L235" i="3"/>
  <c r="N235" i="3"/>
  <c r="Q250" i="3"/>
  <c r="F262" i="3"/>
  <c r="I262" i="3"/>
  <c r="S223" i="3"/>
  <c r="S241" i="3"/>
  <c r="F252" i="3"/>
  <c r="I252" i="3"/>
  <c r="R40" i="3"/>
  <c r="Z114" i="3"/>
  <c r="Z136" i="3"/>
  <c r="AC155" i="3"/>
  <c r="AC127" i="3"/>
  <c r="AC135" i="3"/>
  <c r="Z142" i="3"/>
  <c r="AC166" i="3"/>
  <c r="Z195" i="3"/>
  <c r="Z149" i="3"/>
  <c r="AC171" i="3"/>
  <c r="Z202" i="3"/>
  <c r="AC192" i="3"/>
  <c r="Z185" i="3"/>
  <c r="AC211" i="3"/>
  <c r="Q128" i="3"/>
  <c r="AF245" i="3"/>
  <c r="S118" i="3"/>
  <c r="L136" i="3"/>
  <c r="N136" i="3"/>
  <c r="Q148" i="3"/>
  <c r="Q162" i="3"/>
  <c r="S168" i="3"/>
  <c r="F149" i="3"/>
  <c r="I149" i="3"/>
  <c r="Q156" i="3"/>
  <c r="F166" i="3"/>
  <c r="I166" i="3"/>
  <c r="S173" i="3"/>
  <c r="L181" i="3"/>
  <c r="N181" i="3"/>
  <c r="S189" i="3"/>
  <c r="V258" i="3"/>
  <c r="S123" i="3"/>
  <c r="Q141" i="3"/>
  <c r="F128" i="3"/>
  <c r="I128" i="3"/>
  <c r="S138" i="3"/>
  <c r="Q145" i="3"/>
  <c r="Q153" i="3"/>
  <c r="S162" i="3"/>
  <c r="Q168" i="3"/>
  <c r="S149" i="3"/>
  <c r="S156" i="3"/>
  <c r="Q165" i="3"/>
  <c r="L171" i="3"/>
  <c r="N171" i="3"/>
  <c r="Q181" i="3"/>
  <c r="Q189" i="3"/>
  <c r="F196" i="3"/>
  <c r="I196" i="3"/>
  <c r="F171" i="3"/>
  <c r="I171" i="3"/>
  <c r="S180" i="3"/>
  <c r="F172" i="3"/>
  <c r="I172" i="3"/>
  <c r="L185" i="3"/>
  <c r="N185" i="3"/>
  <c r="Q193" i="3"/>
  <c r="F201" i="3"/>
  <c r="I201" i="3"/>
  <c r="S208" i="3"/>
  <c r="L215" i="3"/>
  <c r="N215" i="3"/>
  <c r="L228" i="3"/>
  <c r="N228" i="3"/>
  <c r="S249" i="3"/>
  <c r="L216" i="3"/>
  <c r="N216" i="3"/>
  <c r="F240" i="3"/>
  <c r="I240" i="3"/>
  <c r="S257" i="3"/>
  <c r="S195" i="3"/>
  <c r="L180" i="3"/>
  <c r="N180" i="3"/>
  <c r="L189" i="3"/>
  <c r="N189" i="3"/>
  <c r="L198" i="3"/>
  <c r="N198" i="3"/>
  <c r="Q204" i="3"/>
  <c r="Q212" i="3"/>
  <c r="Q216" i="3"/>
  <c r="S222" i="3"/>
  <c r="F228" i="3"/>
  <c r="I228" i="3"/>
  <c r="F235" i="3"/>
  <c r="I235" i="3"/>
  <c r="Q242" i="3"/>
  <c r="S251" i="3"/>
  <c r="S259" i="3"/>
  <c r="Q210" i="3"/>
  <c r="L223" i="3"/>
  <c r="N223" i="3"/>
  <c r="Q233" i="3"/>
  <c r="F243" i="3"/>
  <c r="I243" i="3"/>
  <c r="F249" i="3"/>
  <c r="I249" i="3"/>
  <c r="Q256" i="3"/>
  <c r="R48" i="3"/>
  <c r="R49" i="3"/>
  <c r="Q217" i="3"/>
  <c r="Q228" i="3"/>
  <c r="F238" i="3"/>
  <c r="I238" i="3"/>
  <c r="F253" i="3"/>
  <c r="I253" i="3"/>
  <c r="S207" i="3"/>
  <c r="Q229" i="3"/>
  <c r="S244" i="3"/>
  <c r="F256" i="3"/>
  <c r="I256" i="3"/>
  <c r="S114" i="3"/>
  <c r="AC117" i="3"/>
  <c r="AC139" i="3"/>
  <c r="I91" i="3"/>
  <c r="AC130" i="3"/>
  <c r="AC140" i="3"/>
  <c r="Z147" i="3"/>
  <c r="Z174" i="3"/>
  <c r="AC178" i="3"/>
  <c r="Z154" i="3"/>
  <c r="Z179" i="3"/>
  <c r="AC172" i="3"/>
  <c r="AC196" i="3"/>
  <c r="Z192" i="3"/>
  <c r="Z217" i="3"/>
  <c r="S129" i="3"/>
  <c r="L123" i="3"/>
  <c r="N123" i="3"/>
  <c r="Q120" i="3"/>
  <c r="L139" i="3"/>
  <c r="N139" i="3"/>
  <c r="L149" i="3"/>
  <c r="N149" i="3"/>
  <c r="S163" i="3"/>
  <c r="Q169" i="3"/>
  <c r="F150" i="3"/>
  <c r="I150" i="3"/>
  <c r="S157" i="3"/>
  <c r="L167" i="3"/>
  <c r="N167" i="3"/>
  <c r="F174" i="3"/>
  <c r="I174" i="3"/>
  <c r="F182" i="3"/>
  <c r="I182" i="3"/>
  <c r="S190" i="3"/>
  <c r="R58" i="3"/>
  <c r="R59" i="3"/>
  <c r="Q126" i="3"/>
  <c r="Q142" i="3"/>
  <c r="S131" i="3"/>
  <c r="L138" i="3"/>
  <c r="N138" i="3"/>
  <c r="L146" i="3"/>
  <c r="N146" i="3"/>
  <c r="L154" i="3"/>
  <c r="N154" i="3"/>
  <c r="F163" i="3"/>
  <c r="I163" i="3"/>
  <c r="F168" i="3"/>
  <c r="I168" i="3"/>
  <c r="L150" i="3"/>
  <c r="N150" i="3"/>
  <c r="F156" i="3"/>
  <c r="I156" i="3"/>
  <c r="S166" i="3"/>
  <c r="S174" i="3"/>
  <c r="S181" i="3"/>
  <c r="F190" i="3"/>
  <c r="I190" i="3"/>
  <c r="S197" i="3"/>
  <c r="S172" i="3"/>
  <c r="Q182" i="3"/>
  <c r="F176" i="3"/>
  <c r="I176" i="3"/>
  <c r="S186" i="3"/>
  <c r="L195" i="3"/>
  <c r="N195" i="3"/>
  <c r="Q202" i="3"/>
  <c r="Q209" i="3"/>
  <c r="S216" i="3"/>
  <c r="F231" i="3"/>
  <c r="I231" i="3"/>
  <c r="Q252" i="3"/>
  <c r="Q219" i="3"/>
  <c r="L243" i="3"/>
  <c r="N243" i="3"/>
  <c r="S260" i="3"/>
  <c r="F197" i="3"/>
  <c r="I197" i="3"/>
  <c r="L182" i="3"/>
  <c r="N182" i="3"/>
  <c r="Q190" i="3"/>
  <c r="L199" i="3"/>
  <c r="N199" i="3"/>
  <c r="L205" i="3"/>
  <c r="N205" i="3"/>
  <c r="L213" i="3"/>
  <c r="N213" i="3"/>
  <c r="S217" i="3"/>
  <c r="Q223" i="3"/>
  <c r="S228" i="3"/>
  <c r="S236" i="3"/>
  <c r="L242" i="3"/>
  <c r="N242" i="3"/>
  <c r="Q253" i="3"/>
  <c r="L260" i="3"/>
  <c r="N260" i="3"/>
  <c r="S212" i="3"/>
  <c r="Q224" i="3"/>
  <c r="Q234" i="3"/>
  <c r="Q243" i="3"/>
  <c r="L250" i="3"/>
  <c r="N250" i="3"/>
  <c r="Q258" i="3"/>
  <c r="AF116" i="3"/>
  <c r="Q218" i="3"/>
  <c r="L229" i="3"/>
  <c r="N229" i="3"/>
  <c r="L241" i="3"/>
  <c r="N241" i="3"/>
  <c r="F254" i="3"/>
  <c r="I254" i="3"/>
  <c r="L210" i="3"/>
  <c r="N210" i="3"/>
  <c r="Q231" i="3"/>
  <c r="L245" i="3"/>
  <c r="N245" i="3"/>
  <c r="Q259" i="3"/>
  <c r="AC118" i="3"/>
  <c r="Z141" i="3"/>
  <c r="R70" i="3"/>
  <c r="Z124" i="3"/>
  <c r="Z144" i="3"/>
  <c r="AC156" i="3"/>
  <c r="AC176" i="3"/>
  <c r="AC179" i="3"/>
  <c r="Z157" i="3"/>
  <c r="AC185" i="3"/>
  <c r="AC173" i="3"/>
  <c r="Z197" i="3"/>
  <c r="Z199" i="3"/>
  <c r="AC226" i="3"/>
  <c r="R57" i="3"/>
  <c r="Q123" i="3"/>
  <c r="S125" i="3"/>
  <c r="S121" i="3"/>
  <c r="Q140" i="3"/>
  <c r="F152" i="3"/>
  <c r="I152" i="3"/>
  <c r="F164" i="3"/>
  <c r="I164" i="3"/>
  <c r="F170" i="3"/>
  <c r="I170" i="3"/>
  <c r="S151" i="3"/>
  <c r="S158" i="3"/>
  <c r="L168" i="3"/>
  <c r="N168" i="3"/>
  <c r="L175" i="3"/>
  <c r="N175" i="3"/>
  <c r="Q183" i="3"/>
  <c r="Q191" i="3"/>
  <c r="L118" i="3"/>
  <c r="N118" i="3"/>
  <c r="Q130" i="3"/>
  <c r="Q119" i="3"/>
  <c r="Q132" i="3"/>
  <c r="F139" i="3"/>
  <c r="I139" i="3"/>
  <c r="L147" i="3"/>
  <c r="N147" i="3"/>
  <c r="S155" i="3"/>
  <c r="Q163" i="3"/>
  <c r="F169" i="3"/>
  <c r="I169" i="3"/>
  <c r="Q150" i="3"/>
  <c r="Q157" i="3"/>
  <c r="S167" i="3"/>
  <c r="Q175" i="3"/>
  <c r="S182" i="3"/>
  <c r="L190" i="3"/>
  <c r="N190" i="3"/>
  <c r="S198" i="3"/>
  <c r="Q174" i="3"/>
  <c r="L193" i="3"/>
  <c r="N193" i="3"/>
  <c r="S177" i="3"/>
  <c r="F187" i="3"/>
  <c r="I187" i="3"/>
  <c r="Q196" i="3"/>
  <c r="S203" i="3"/>
  <c r="F211" i="3"/>
  <c r="I211" i="3"/>
  <c r="L218" i="3"/>
  <c r="N218" i="3"/>
  <c r="L234" i="3"/>
  <c r="N234" i="3"/>
  <c r="L256" i="3"/>
  <c r="N256" i="3"/>
  <c r="Q222" i="3"/>
  <c r="F245" i="3"/>
  <c r="I245" i="3"/>
  <c r="L262" i="3"/>
  <c r="N262" i="3"/>
  <c r="F199" i="3"/>
  <c r="I199" i="3"/>
  <c r="F183" i="3"/>
  <c r="I183" i="3"/>
  <c r="S191" i="3"/>
  <c r="S200" i="3"/>
  <c r="L206" i="3"/>
  <c r="N206" i="3"/>
  <c r="L214" i="3"/>
  <c r="N214" i="3"/>
  <c r="L217" i="3"/>
  <c r="N217" i="3"/>
  <c r="L224" i="3"/>
  <c r="N224" i="3"/>
  <c r="S229" i="3"/>
  <c r="F236" i="3"/>
  <c r="I236" i="3"/>
  <c r="F244" i="3"/>
  <c r="I244" i="3"/>
  <c r="L254" i="3"/>
  <c r="N254" i="3"/>
  <c r="L261" i="3"/>
  <c r="N261" i="3"/>
  <c r="F214" i="3"/>
  <c r="I214" i="3"/>
  <c r="L226" i="3"/>
  <c r="N226" i="3"/>
  <c r="L236" i="3"/>
  <c r="N236" i="3"/>
  <c r="L244" i="3"/>
  <c r="N244" i="3"/>
  <c r="L251" i="3"/>
  <c r="N251" i="3"/>
  <c r="F259" i="3"/>
  <c r="I259" i="3"/>
  <c r="L114" i="3"/>
  <c r="N114" i="3"/>
  <c r="S220" i="3"/>
  <c r="S230" i="3"/>
  <c r="Q241" i="3"/>
  <c r="L257" i="3"/>
  <c r="N257" i="3"/>
  <c r="F213" i="3"/>
  <c r="I213" i="3"/>
  <c r="S233" i="3"/>
  <c r="S247" i="3"/>
  <c r="F261" i="3"/>
  <c r="I261" i="3"/>
  <c r="Z120" i="3"/>
  <c r="Z139" i="3"/>
  <c r="Z132" i="3"/>
  <c r="AC157" i="3"/>
  <c r="Z161" i="3"/>
  <c r="Z177" i="3"/>
  <c r="AC181" i="3"/>
  <c r="Z160" i="3"/>
  <c r="AC187" i="3"/>
  <c r="Z176" i="3"/>
  <c r="AC205" i="3"/>
  <c r="Z201" i="3"/>
  <c r="Q117" i="3"/>
  <c r="S127" i="3"/>
  <c r="F127" i="3"/>
  <c r="I127" i="3"/>
  <c r="F126" i="3"/>
  <c r="I126" i="3"/>
  <c r="S141" i="3"/>
  <c r="Q155" i="3"/>
  <c r="S164" i="3"/>
  <c r="F143" i="3"/>
  <c r="I143" i="3"/>
  <c r="Q151" i="3"/>
  <c r="F158" i="3"/>
  <c r="I158" i="3"/>
  <c r="L169" i="3"/>
  <c r="N169" i="3"/>
  <c r="F175" i="3"/>
  <c r="I175" i="3"/>
  <c r="S184" i="3"/>
  <c r="Q192" i="3"/>
  <c r="F122" i="3"/>
  <c r="I122" i="3"/>
  <c r="F134" i="3"/>
  <c r="I134" i="3"/>
  <c r="Q121" i="3"/>
  <c r="Q133" i="3"/>
  <c r="F141" i="3"/>
  <c r="I141" i="3"/>
  <c r="L148" i="3"/>
  <c r="N148" i="3"/>
  <c r="L157" i="3"/>
  <c r="N157" i="3"/>
  <c r="Q164" i="3"/>
  <c r="Q170" i="3"/>
  <c r="F151" i="3"/>
  <c r="I151" i="3"/>
  <c r="Q158" i="3"/>
  <c r="S169" i="3"/>
  <c r="S175" i="3"/>
  <c r="L183" i="3"/>
  <c r="N183" i="3"/>
  <c r="L191" i="3"/>
  <c r="N191" i="3"/>
  <c r="Q199" i="3"/>
  <c r="S176" i="3"/>
  <c r="F194" i="3"/>
  <c r="I194" i="3"/>
  <c r="F179" i="3"/>
  <c r="I179" i="3"/>
  <c r="L188" i="3"/>
  <c r="N188" i="3"/>
  <c r="Q197" i="3"/>
  <c r="L204" i="3"/>
  <c r="N204" i="3"/>
  <c r="L211" i="3"/>
  <c r="N211" i="3"/>
  <c r="S219" i="3"/>
  <c r="Q236" i="3"/>
  <c r="Q257" i="3"/>
  <c r="F225" i="3"/>
  <c r="I225" i="3"/>
  <c r="S246" i="3"/>
  <c r="S120" i="3"/>
  <c r="L203" i="3"/>
  <c r="N203" i="3"/>
  <c r="L184" i="3"/>
  <c r="N184" i="3"/>
  <c r="F192" i="3"/>
  <c r="I192" i="3"/>
  <c r="L200" i="3"/>
  <c r="N200" i="3"/>
  <c r="L207" i="3"/>
  <c r="N207" i="3"/>
  <c r="S214" i="3"/>
  <c r="S218" i="3"/>
  <c r="S224" i="3"/>
  <c r="L230" i="3"/>
  <c r="N230" i="3"/>
  <c r="F237" i="3"/>
  <c r="I237" i="3"/>
  <c r="L246" i="3"/>
  <c r="N246" i="3"/>
  <c r="Q255" i="3"/>
  <c r="Q262" i="3"/>
  <c r="F216" i="3"/>
  <c r="I216" i="3"/>
  <c r="Q227" i="3"/>
  <c r="S237" i="3"/>
  <c r="Q245" i="3"/>
  <c r="L252" i="3"/>
  <c r="N252" i="3"/>
  <c r="F260" i="3"/>
  <c r="I260" i="3"/>
  <c r="I58" i="3"/>
  <c r="Q221" i="3"/>
  <c r="F232" i="3"/>
  <c r="I232" i="3"/>
  <c r="Q244" i="3"/>
  <c r="F258" i="3"/>
  <c r="I258" i="3"/>
  <c r="S215" i="3"/>
  <c r="F234" i="3"/>
  <c r="I234" i="3"/>
  <c r="Q248" i="3"/>
  <c r="L263" i="3"/>
  <c r="N263" i="3"/>
  <c r="AF180" i="3"/>
  <c r="Q129" i="3"/>
  <c r="F132" i="3"/>
  <c r="I132" i="3"/>
  <c r="L131" i="3"/>
  <c r="N131" i="3"/>
  <c r="L142" i="3"/>
  <c r="N142" i="3"/>
  <c r="L156" i="3"/>
  <c r="N156" i="3"/>
  <c r="L165" i="3"/>
  <c r="N165" i="3"/>
  <c r="L144" i="3"/>
  <c r="N144" i="3"/>
  <c r="S152" i="3"/>
  <c r="S159" i="3"/>
  <c r="L170" i="3"/>
  <c r="N170" i="3"/>
  <c r="F177" i="3"/>
  <c r="I177" i="3"/>
  <c r="F185" i="3"/>
  <c r="I185" i="3"/>
  <c r="V231" i="3"/>
  <c r="S124" i="3"/>
  <c r="S136" i="3"/>
  <c r="L122" i="3"/>
  <c r="N122" i="3"/>
  <c r="Q134" i="3"/>
  <c r="S142" i="3"/>
  <c r="F148" i="3"/>
  <c r="I148" i="3"/>
  <c r="L158" i="3"/>
  <c r="N158" i="3"/>
  <c r="L164" i="3"/>
  <c r="N164" i="3"/>
  <c r="F144" i="3"/>
  <c r="I144" i="3"/>
  <c r="Q152" i="3"/>
  <c r="Q159" i="3"/>
  <c r="S170" i="3"/>
  <c r="Q177" i="3"/>
  <c r="F184" i="3"/>
  <c r="I184" i="3"/>
  <c r="S193" i="3"/>
  <c r="S199" i="3"/>
  <c r="L176" i="3"/>
  <c r="N176" i="3"/>
  <c r="L196" i="3"/>
  <c r="N196" i="3"/>
  <c r="Q180" i="3"/>
  <c r="F189" i="3"/>
  <c r="I189" i="3"/>
  <c r="Q198" i="3"/>
  <c r="F205" i="3"/>
  <c r="I205" i="3"/>
  <c r="S213" i="3"/>
  <c r="F221" i="3"/>
  <c r="I221" i="3"/>
  <c r="S238" i="3"/>
  <c r="Q260" i="3"/>
  <c r="F230" i="3"/>
  <c r="I230" i="3"/>
  <c r="L249" i="3"/>
  <c r="N249" i="3"/>
  <c r="Q118" i="3"/>
  <c r="S171" i="3"/>
  <c r="S185" i="3"/>
  <c r="F193" i="3"/>
  <c r="I193" i="3"/>
  <c r="Q201" i="3"/>
  <c r="F208" i="3"/>
  <c r="I208" i="3"/>
  <c r="S209" i="3"/>
  <c r="L219" i="3"/>
  <c r="N219" i="3"/>
  <c r="L225" i="3"/>
  <c r="N225" i="3"/>
  <c r="L231" i="3"/>
  <c r="N231" i="3"/>
  <c r="Q238" i="3"/>
  <c r="Q247" i="3"/>
  <c r="S256" i="3"/>
  <c r="Q263" i="3"/>
  <c r="F217" i="3"/>
  <c r="I217" i="3"/>
  <c r="F229" i="3"/>
  <c r="I229" i="3"/>
  <c r="L239" i="3"/>
  <c r="N239" i="3"/>
  <c r="Q246" i="3"/>
  <c r="L253" i="3"/>
  <c r="N253" i="3"/>
  <c r="Q261" i="3"/>
  <c r="F115" i="3"/>
  <c r="I115" i="3"/>
  <c r="F223" i="3"/>
  <c r="I223" i="3"/>
  <c r="F233" i="3"/>
  <c r="I233" i="3"/>
  <c r="F247" i="3"/>
  <c r="I247" i="3"/>
  <c r="L259" i="3"/>
  <c r="N259" i="3"/>
  <c r="F218" i="3"/>
  <c r="I218" i="3"/>
  <c r="Q237" i="3"/>
  <c r="Q249" i="3"/>
  <c r="L117" i="3"/>
  <c r="N117" i="3"/>
  <c r="I90" i="3"/>
  <c r="Z129" i="3"/>
  <c r="AC141" i="3"/>
  <c r="AC123" i="3"/>
  <c r="AC136" i="3"/>
  <c r="AC159" i="3"/>
  <c r="Z164" i="3"/>
  <c r="Z193" i="3"/>
  <c r="AC144" i="3"/>
  <c r="Z162" i="3"/>
  <c r="AC191" i="3"/>
  <c r="Z182" i="3"/>
  <c r="AC213" i="3"/>
  <c r="Z208" i="3"/>
  <c r="S240" i="3"/>
  <c r="F257" i="3"/>
  <c r="I257" i="3"/>
  <c r="F226" i="3"/>
  <c r="I226" i="3"/>
  <c r="S201" i="3"/>
  <c r="L116" i="3"/>
  <c r="N116" i="3"/>
  <c r="S239" i="3"/>
  <c r="Q200" i="3"/>
  <c r="L177" i="3"/>
  <c r="N177" i="3"/>
  <c r="S178" i="3"/>
  <c r="Q144" i="3"/>
  <c r="L143" i="3"/>
  <c r="N143" i="3"/>
  <c r="F129" i="3"/>
  <c r="I129" i="3"/>
  <c r="L172" i="3"/>
  <c r="N172" i="3"/>
  <c r="F165" i="3"/>
  <c r="I165" i="3"/>
  <c r="Q135" i="3"/>
  <c r="L132" i="3"/>
  <c r="N132" i="3"/>
  <c r="F133" i="3"/>
  <c r="I133" i="3"/>
  <c r="S122" i="3"/>
  <c r="Q116" i="3"/>
  <c r="F120" i="3"/>
  <c r="I120" i="3"/>
  <c r="S126" i="3"/>
  <c r="F116" i="3"/>
  <c r="I116" i="3"/>
  <c r="F123" i="3"/>
  <c r="I123" i="3"/>
  <c r="L128" i="3"/>
  <c r="N128" i="3"/>
  <c r="S139" i="3"/>
  <c r="S132" i="3"/>
  <c r="AF251" i="3"/>
  <c r="I47" i="3"/>
  <c r="R47" i="3"/>
  <c r="Q154" i="3"/>
  <c r="S146" i="3"/>
  <c r="Q138" i="3"/>
  <c r="L129" i="3"/>
  <c r="N129" i="3"/>
  <c r="F142" i="3"/>
  <c r="I142" i="3"/>
  <c r="Q124" i="3"/>
  <c r="Q114" i="3"/>
  <c r="S135" i="3"/>
  <c r="Q122" i="3"/>
  <c r="Q125" i="3"/>
  <c r="V212" i="3"/>
  <c r="F162" i="3"/>
  <c r="I162" i="3"/>
  <c r="L153" i="3"/>
  <c r="N153" i="3"/>
  <c r="F145" i="3"/>
  <c r="I145" i="3"/>
  <c r="Q137" i="3"/>
  <c r="S128" i="3"/>
  <c r="L141" i="3"/>
  <c r="N141" i="3"/>
  <c r="F121" i="3"/>
  <c r="I121" i="3"/>
  <c r="Q115" i="3"/>
  <c r="L134" i="3"/>
  <c r="N134" i="3"/>
  <c r="L120" i="3"/>
  <c r="N120" i="3"/>
  <c r="F124" i="3"/>
  <c r="I124" i="3"/>
  <c r="V200" i="3"/>
  <c r="V126" i="3"/>
  <c r="L160" i="3"/>
  <c r="N160" i="3"/>
  <c r="S150" i="3"/>
  <c r="S143" i="3"/>
  <c r="F135" i="3"/>
  <c r="I135" i="3"/>
  <c r="L125" i="3"/>
  <c r="N125" i="3"/>
  <c r="Q139" i="3"/>
  <c r="F130" i="3"/>
  <c r="I130" i="3"/>
  <c r="AF242" i="3"/>
  <c r="Q131" i="3"/>
  <c r="F131" i="3"/>
  <c r="I131" i="3"/>
  <c r="L119" i="3"/>
  <c r="N119" i="3"/>
  <c r="AF170" i="3"/>
  <c r="AF185" i="3"/>
  <c r="V224" i="3"/>
  <c r="V150" i="3"/>
  <c r="V249" i="3"/>
  <c r="V141" i="3"/>
  <c r="I59" i="3"/>
  <c r="S116" i="3"/>
  <c r="F117" i="3"/>
  <c r="I117" i="3"/>
  <c r="V157" i="3"/>
  <c r="V226" i="3"/>
  <c r="AF169" i="3"/>
  <c r="AF147" i="3"/>
  <c r="V204" i="3"/>
  <c r="AF161" i="3"/>
  <c r="V146" i="3"/>
  <c r="V202" i="3"/>
  <c r="AF139" i="3"/>
  <c r="AF125" i="3"/>
  <c r="AF209" i="3"/>
  <c r="AF187" i="3"/>
  <c r="V115" i="3"/>
  <c r="V124" i="3"/>
  <c r="AF197" i="3"/>
  <c r="AF186" i="3"/>
  <c r="R39" i="3"/>
  <c r="R41" i="3"/>
  <c r="AF114" i="3"/>
  <c r="S130" i="3"/>
  <c r="L121" i="3"/>
  <c r="N121" i="3"/>
  <c r="AF237" i="3"/>
  <c r="AF181" i="3"/>
  <c r="AF162" i="3"/>
  <c r="I66" i="3"/>
  <c r="I67" i="3"/>
  <c r="L115" i="3"/>
  <c r="N115" i="3"/>
  <c r="V225" i="3"/>
  <c r="AF204" i="3"/>
  <c r="V159" i="3"/>
  <c r="V137" i="3"/>
  <c r="F119" i="3"/>
  <c r="I119" i="3"/>
  <c r="S117" i="3"/>
  <c r="V245" i="3"/>
  <c r="V238" i="3"/>
  <c r="AF216" i="3"/>
  <c r="AF221" i="3"/>
  <c r="AF183" i="3"/>
  <c r="V187" i="3"/>
  <c r="V169" i="3"/>
  <c r="AF171" i="3"/>
  <c r="AF168" i="3"/>
  <c r="V148" i="3"/>
  <c r="V132" i="3"/>
  <c r="V120" i="3"/>
  <c r="AF258" i="3"/>
  <c r="AF210" i="3"/>
  <c r="V236" i="3"/>
  <c r="V253" i="3"/>
  <c r="AF220" i="3"/>
  <c r="V208" i="3"/>
  <c r="AF203" i="3"/>
  <c r="AF166" i="3"/>
  <c r="AF202" i="3"/>
  <c r="AF154" i="3"/>
  <c r="AF148" i="3"/>
  <c r="V131" i="3"/>
  <c r="AF118" i="3"/>
  <c r="AF140" i="3"/>
  <c r="V256" i="3"/>
  <c r="AF235" i="3"/>
  <c r="V252" i="3"/>
  <c r="AF208" i="3"/>
  <c r="AF205" i="3"/>
  <c r="V201" i="3"/>
  <c r="AF145" i="3"/>
  <c r="AF201" i="3"/>
  <c r="V153" i="3"/>
  <c r="AF141" i="3"/>
  <c r="AF129" i="3"/>
  <c r="V135" i="3"/>
  <c r="AF136" i="3"/>
  <c r="AF153" i="3"/>
  <c r="V122" i="3"/>
  <c r="AF134" i="3"/>
  <c r="AF131" i="3"/>
  <c r="AF146" i="3"/>
  <c r="AF157" i="3"/>
  <c r="V145" i="3"/>
  <c r="V164" i="3"/>
  <c r="AF182" i="3"/>
  <c r="V197" i="3"/>
  <c r="V175" i="3"/>
  <c r="AF165" i="3"/>
  <c r="AF164" i="3"/>
  <c r="AF176" i="3"/>
  <c r="AF196" i="3"/>
  <c r="V183" i="3"/>
  <c r="AF194" i="3"/>
  <c r="V210" i="3"/>
  <c r="V191" i="3"/>
  <c r="V205" i="3"/>
  <c r="V216" i="3"/>
  <c r="AF229" i="3"/>
  <c r="AF246" i="3"/>
  <c r="V213" i="3"/>
  <c r="V222" i="3"/>
  <c r="V232" i="3"/>
  <c r="AF244" i="3"/>
  <c r="AF263" i="3"/>
  <c r="V237" i="3"/>
  <c r="AF226" i="3"/>
  <c r="V259" i="3"/>
  <c r="V218" i="3"/>
  <c r="AF252" i="3"/>
  <c r="AF238" i="3"/>
  <c r="V116" i="3"/>
  <c r="R71" i="3"/>
  <c r="R68" i="3"/>
  <c r="Z123" i="3"/>
  <c r="Z133" i="3"/>
  <c r="Z137" i="3"/>
  <c r="Z150" i="3"/>
  <c r="Z116" i="3"/>
  <c r="AC125" i="3"/>
  <c r="AC129" i="3"/>
  <c r="Z134" i="3"/>
  <c r="AC154" i="3"/>
  <c r="AC145" i="3"/>
  <c r="AC162" i="3"/>
  <c r="Z171" i="3"/>
  <c r="Z190" i="3"/>
  <c r="AC177" i="3"/>
  <c r="Z146" i="3"/>
  <c r="Z155" i="3"/>
  <c r="Z168" i="3"/>
  <c r="AC186" i="3"/>
  <c r="AC201" i="3"/>
  <c r="Z178" i="3"/>
  <c r="Z194" i="3"/>
  <c r="AC207" i="3"/>
  <c r="Z189" i="3"/>
  <c r="Z207" i="3"/>
  <c r="Z211" i="3"/>
  <c r="AC234" i="3"/>
  <c r="AC250" i="3"/>
  <c r="Z205" i="3"/>
  <c r="Z242" i="3"/>
  <c r="AC257" i="3"/>
  <c r="AC223" i="3"/>
  <c r="AC251" i="3"/>
  <c r="Z222" i="3"/>
  <c r="AC249" i="3"/>
  <c r="Z229" i="3"/>
  <c r="Z214" i="3"/>
  <c r="AC235" i="3"/>
  <c r="AF128" i="3"/>
  <c r="AF138" i="3"/>
  <c r="V139" i="3"/>
  <c r="V154" i="3"/>
  <c r="I57" i="3"/>
  <c r="V123" i="3"/>
  <c r="AF137" i="3"/>
  <c r="V136" i="3"/>
  <c r="V147" i="3"/>
  <c r="AF158" i="3"/>
  <c r="V149" i="3"/>
  <c r="V167" i="3"/>
  <c r="AF184" i="3"/>
  <c r="AF200" i="3"/>
  <c r="AF178" i="3"/>
  <c r="V166" i="3"/>
  <c r="V165" i="3"/>
  <c r="V177" i="3"/>
  <c r="AF198" i="3"/>
  <c r="V186" i="3"/>
  <c r="V199" i="3"/>
  <c r="AF211" i="3"/>
  <c r="V193" i="3"/>
  <c r="V206" i="3"/>
  <c r="V219" i="3"/>
  <c r="V230" i="3"/>
  <c r="AF247" i="3"/>
  <c r="V215" i="3"/>
  <c r="V223" i="3"/>
  <c r="AF234" i="3"/>
  <c r="V247" i="3"/>
  <c r="V243" i="3"/>
  <c r="V228" i="3"/>
  <c r="V261" i="3"/>
  <c r="AF227" i="3"/>
  <c r="V254" i="3"/>
  <c r="AF239" i="3"/>
  <c r="R65" i="3"/>
  <c r="V127" i="3"/>
  <c r="V129" i="3"/>
  <c r="AF149" i="3"/>
  <c r="AF117" i="3"/>
  <c r="V125" i="3"/>
  <c r="V142" i="3"/>
  <c r="AF142" i="3"/>
  <c r="AF151" i="3"/>
  <c r="AF167" i="3"/>
  <c r="V155" i="3"/>
  <c r="V176" i="3"/>
  <c r="AF191" i="3"/>
  <c r="AF173" i="3"/>
  <c r="AF160" i="3"/>
  <c r="AF156" i="3"/>
  <c r="V171" i="3"/>
  <c r="V185" i="3"/>
  <c r="AF177" i="3"/>
  <c r="AF189" i="3"/>
  <c r="AF206" i="3"/>
  <c r="V184" i="3"/>
  <c r="V198" i="3"/>
  <c r="AF213" i="3"/>
  <c r="AF223" i="3"/>
  <c r="V239" i="3"/>
  <c r="AF254" i="3"/>
  <c r="AF219" i="3"/>
  <c r="V229" i="3"/>
  <c r="AF240" i="3"/>
  <c r="AF253" i="3"/>
  <c r="AF214" i="3"/>
  <c r="AF259" i="3"/>
  <c r="V251" i="3"/>
  <c r="V244" i="3"/>
  <c r="AF218" i="3"/>
  <c r="V260" i="3"/>
  <c r="AF119" i="3"/>
  <c r="V119" i="3"/>
  <c r="R72" i="3"/>
  <c r="AC121" i="3"/>
  <c r="AC132" i="3"/>
  <c r="Z125" i="3"/>
  <c r="AC143" i="3"/>
  <c r="I88" i="3"/>
  <c r="Z118" i="3"/>
  <c r="Z117" i="3"/>
  <c r="AC138" i="3"/>
  <c r="AC149" i="3"/>
  <c r="AC165" i="3"/>
  <c r="Z158" i="3"/>
  <c r="AC168" i="3"/>
  <c r="Z180" i="3"/>
  <c r="Z200" i="3"/>
  <c r="Z167" i="3"/>
  <c r="Z152" i="3"/>
  <c r="AC163" i="3"/>
  <c r="AC182" i="3"/>
  <c r="AC193" i="3"/>
  <c r="AC174" i="3"/>
  <c r="AC184" i="3"/>
  <c r="AC200" i="3"/>
  <c r="Z186" i="3"/>
  <c r="AC202" i="3"/>
  <c r="AC206" i="3"/>
  <c r="Z231" i="3"/>
  <c r="Z244" i="3"/>
  <c r="Z259" i="3"/>
  <c r="AC228" i="3"/>
  <c r="AC254" i="3"/>
  <c r="AC216" i="3"/>
  <c r="Z239" i="3"/>
  <c r="AC217" i="3"/>
  <c r="Z238" i="3"/>
  <c r="Z220" i="3"/>
  <c r="AC247" i="3"/>
  <c r="AC225" i="3"/>
  <c r="Z251" i="3"/>
  <c r="AC219" i="3"/>
  <c r="Z218" i="3"/>
  <c r="AC240" i="3"/>
  <c r="AC260" i="3"/>
  <c r="Z228" i="3"/>
  <c r="AC128" i="3"/>
  <c r="Z148" i="3"/>
  <c r="V114" i="3"/>
  <c r="AF132" i="3"/>
  <c r="V133" i="3"/>
  <c r="V151" i="3"/>
  <c r="R67" i="3"/>
  <c r="AF121" i="3"/>
  <c r="AF127" i="3"/>
  <c r="AF123" i="3"/>
  <c r="AF143" i="3"/>
  <c r="AF152" i="3"/>
  <c r="V168" i="3"/>
  <c r="AF155" i="3"/>
  <c r="AF179" i="3"/>
  <c r="V192" i="3"/>
  <c r="AF174" i="3"/>
  <c r="V161" i="3"/>
  <c r="AF159" i="3"/>
  <c r="AF172" i="3"/>
  <c r="AF192" i="3"/>
  <c r="V179" i="3"/>
  <c r="AF190" i="3"/>
  <c r="V207" i="3"/>
  <c r="V189" i="3"/>
  <c r="AF199" i="3"/>
  <c r="V214" i="3"/>
  <c r="AF224" i="3"/>
  <c r="V240" i="3"/>
  <c r="AF257" i="3"/>
  <c r="V220" i="3"/>
  <c r="AF230" i="3"/>
  <c r="AF241" i="3"/>
  <c r="AF261" i="3"/>
  <c r="AF228" i="3"/>
  <c r="V263" i="3"/>
  <c r="V255" i="3"/>
  <c r="V246" i="3"/>
  <c r="V227" i="3"/>
  <c r="AF262" i="3"/>
  <c r="AF115" i="3"/>
  <c r="AC114" i="3"/>
  <c r="AC122" i="3"/>
  <c r="AC119" i="3"/>
  <c r="Z130" i="3"/>
  <c r="Z145" i="3"/>
  <c r="R69" i="3"/>
  <c r="AC120" i="3"/>
  <c r="AC124" i="3"/>
  <c r="Z121" i="3"/>
  <c r="AC152" i="3"/>
  <c r="AC169" i="3"/>
  <c r="AC160" i="3"/>
  <c r="Z169" i="3"/>
  <c r="Z183" i="3"/>
  <c r="AC203" i="3"/>
  <c r="Z143" i="3"/>
  <c r="AC153" i="3"/>
  <c r="Z166" i="3"/>
  <c r="AC183" i="3"/>
  <c r="AC197" i="3"/>
  <c r="Z175" i="3"/>
  <c r="Z191" i="3"/>
  <c r="Z203" i="3"/>
  <c r="Z187" i="3"/>
  <c r="AC204" i="3"/>
  <c r="AC209" i="3"/>
  <c r="Z232" i="3"/>
  <c r="AC245" i="3"/>
  <c r="AC261" i="3"/>
  <c r="Z237" i="3"/>
  <c r="AC255" i="3"/>
  <c r="Z241" i="3"/>
  <c r="AC222" i="3"/>
  <c r="AC253" i="3"/>
  <c r="V117" i="3"/>
  <c r="AC115" i="3"/>
  <c r="Z119" i="3"/>
  <c r="Z122" i="3"/>
  <c r="Z135" i="3"/>
  <c r="R80" i="3"/>
  <c r="R81" i="3"/>
  <c r="AF120" i="3"/>
  <c r="AF124" i="3"/>
  <c r="AF133" i="3"/>
  <c r="AF135" i="3"/>
  <c r="V152" i="3"/>
  <c r="V121" i="3"/>
  <c r="V128" i="3"/>
  <c r="AF130" i="3"/>
  <c r="V143" i="3"/>
  <c r="V156" i="3"/>
  <c r="AF144" i="3"/>
  <c r="V162" i="3"/>
  <c r="V180" i="3"/>
  <c r="V196" i="3"/>
  <c r="AF175" i="3"/>
  <c r="V163" i="3"/>
  <c r="AF163" i="3"/>
  <c r="V174" i="3"/>
  <c r="AF195" i="3"/>
  <c r="V182" i="3"/>
  <c r="AF193" i="3"/>
  <c r="V209" i="3"/>
  <c r="V190" i="3"/>
  <c r="V203" i="3"/>
  <c r="AF215" i="3"/>
  <c r="AF225" i="3"/>
  <c r="V241" i="3"/>
  <c r="AF260" i="3"/>
  <c r="V221" i="3"/>
  <c r="AF231" i="3"/>
  <c r="AF243" i="3"/>
  <c r="V262" i="3"/>
  <c r="AF232" i="3"/>
  <c r="AF212" i="3"/>
  <c r="V257" i="3"/>
  <c r="V211" i="3"/>
  <c r="V250" i="3"/>
  <c r="AF233" i="3"/>
  <c r="AC248" i="3"/>
  <c r="Z216" i="3"/>
  <c r="Z213" i="3"/>
  <c r="AC220" i="3"/>
  <c r="AC230" i="3"/>
  <c r="AC252" i="3"/>
  <c r="Z209" i="3"/>
  <c r="AC243" i="3"/>
  <c r="AC210" i="3"/>
  <c r="Z196" i="3"/>
  <c r="AC198" i="3"/>
  <c r="AC180" i="3"/>
  <c r="AC190" i="3"/>
  <c r="AC167" i="3"/>
  <c r="AC148" i="3"/>
  <c r="Z198" i="3"/>
  <c r="Z173" i="3"/>
  <c r="Z151" i="3"/>
  <c r="Z153" i="3"/>
  <c r="AC133" i="3"/>
  <c r="I79" i="3"/>
  <c r="AC142" i="3"/>
  <c r="AC131" i="3"/>
  <c r="Z115" i="3"/>
  <c r="AF256" i="3"/>
  <c r="AF255" i="3"/>
  <c r="AF248" i="3"/>
  <c r="AF217" i="3"/>
  <c r="V235" i="3"/>
  <c r="V195" i="3"/>
  <c r="AF188" i="3"/>
  <c r="V178" i="3"/>
  <c r="V158" i="3"/>
  <c r="V173" i="3"/>
  <c r="V160" i="3"/>
  <c r="V140" i="3"/>
  <c r="V144" i="3"/>
  <c r="AF250" i="3"/>
  <c r="AF249" i="3"/>
  <c r="V248" i="3"/>
  <c r="V217" i="3"/>
  <c r="AF222" i="3"/>
  <c r="V194" i="3"/>
  <c r="V188" i="3"/>
  <c r="V170" i="3"/>
  <c r="V181" i="3"/>
  <c r="V172" i="3"/>
  <c r="AF150" i="3"/>
  <c r="V138" i="3"/>
  <c r="AF122" i="3"/>
  <c r="V134" i="3"/>
  <c r="AF126" i="3"/>
  <c r="V118" i="3"/>
  <c r="R53" i="1"/>
  <c r="I92" i="1"/>
  <c r="V130" i="3"/>
  <c r="I49" i="3"/>
  <c r="I50" i="3"/>
  <c r="I52" i="1"/>
  <c r="I53" i="1"/>
  <c r="Q51" i="1"/>
  <c r="Q52" i="1"/>
  <c r="Q61" i="1"/>
  <c r="Q62" i="1"/>
  <c r="I69" i="1"/>
  <c r="I70" i="1"/>
  <c r="I61" i="1"/>
  <c r="I62" i="1"/>
  <c r="I63" i="1"/>
  <c r="Q70" i="1"/>
  <c r="Q74" i="1"/>
  <c r="Q73" i="1"/>
  <c r="Q76" i="1"/>
  <c r="I94" i="1"/>
  <c r="Q72" i="1"/>
  <c r="Q75" i="1"/>
  <c r="I60" i="1"/>
  <c r="Q68" i="1"/>
  <c r="I83" i="1"/>
  <c r="Q82" i="1"/>
  <c r="I93" i="1"/>
  <c r="I82" i="1"/>
  <c r="I91" i="1"/>
  <c r="AI224" i="3"/>
  <c r="AI229" i="3"/>
  <c r="AI215" i="3"/>
  <c r="AI161" i="3"/>
  <c r="AI150" i="3"/>
  <c r="AI143" i="3"/>
  <c r="AI175" i="3"/>
  <c r="AI262" i="3"/>
  <c r="AI231" i="3"/>
  <c r="AI196" i="3"/>
  <c r="AI185" i="3"/>
  <c r="AI201" i="3"/>
  <c r="AI250" i="3"/>
  <c r="AI221" i="3"/>
  <c r="AI261" i="3"/>
  <c r="AI181" i="3"/>
  <c r="AI256" i="3"/>
  <c r="AI130" i="3"/>
  <c r="AI219" i="3"/>
  <c r="AI126" i="3"/>
  <c r="AI212" i="3"/>
  <c r="AI174" i="3"/>
  <c r="AI156" i="3"/>
  <c r="AI124" i="3"/>
  <c r="AI232" i="3"/>
  <c r="AI195" i="3"/>
  <c r="AI199" i="3"/>
  <c r="AI238" i="3"/>
  <c r="AI151" i="3"/>
  <c r="AI211" i="3"/>
  <c r="AI162" i="3"/>
  <c r="AI218" i="3"/>
  <c r="AI168" i="3"/>
  <c r="AI230" i="3"/>
  <c r="AI216" i="3"/>
  <c r="AI243" i="3"/>
  <c r="AI120" i="3"/>
  <c r="AI190" i="3"/>
  <c r="AI154" i="3"/>
  <c r="AI188" i="3"/>
  <c r="AI217" i="3"/>
  <c r="AI133" i="3"/>
  <c r="AI220" i="3"/>
  <c r="AI253" i="3"/>
  <c r="AI248" i="3"/>
  <c r="AI213" i="3"/>
  <c r="AI163" i="3"/>
  <c r="AI222" i="3"/>
  <c r="AI123" i="3"/>
  <c r="AI148" i="3"/>
  <c r="AI260" i="3"/>
  <c r="AI206" i="3"/>
  <c r="AI233" i="3"/>
  <c r="AI142" i="3"/>
  <c r="AI167" i="3"/>
  <c r="AI252" i="3"/>
  <c r="AI245" i="3"/>
  <c r="AI197" i="3"/>
  <c r="AI234" i="3"/>
  <c r="AI186" i="3"/>
  <c r="AI152" i="3"/>
  <c r="AI122" i="3"/>
  <c r="AI239" i="3"/>
  <c r="AI121" i="3"/>
  <c r="AI242" i="3"/>
  <c r="AI135" i="3"/>
  <c r="AI169" i="3"/>
  <c r="AI236" i="3"/>
  <c r="AI136" i="3"/>
  <c r="AI178" i="3"/>
  <c r="AI128" i="3"/>
  <c r="AI116" i="3"/>
  <c r="AI157" i="3"/>
  <c r="AI144" i="3"/>
  <c r="AI244" i="3"/>
  <c r="AI170" i="3"/>
  <c r="AI192" i="3"/>
  <c r="AI180" i="3"/>
  <c r="AI191" i="3"/>
  <c r="AI117" i="3"/>
  <c r="AI177" i="3"/>
  <c r="AI158" i="3"/>
  <c r="AI138" i="3"/>
  <c r="AI223" i="3"/>
  <c r="AI129" i="3"/>
  <c r="AI263" i="3"/>
  <c r="AI205" i="3"/>
  <c r="AI165" i="3"/>
  <c r="AI166" i="3"/>
  <c r="AI160" i="3"/>
  <c r="AI127" i="3"/>
  <c r="AI171" i="3"/>
  <c r="AI249" i="3"/>
  <c r="AI226" i="3"/>
  <c r="AI145" i="3"/>
  <c r="AI182" i="3"/>
  <c r="AI172" i="3"/>
  <c r="AI208" i="3"/>
  <c r="AI255" i="3"/>
  <c r="AI132" i="3"/>
  <c r="AI203" i="3"/>
  <c r="AI241" i="3"/>
  <c r="AI193" i="3"/>
  <c r="AI194" i="3"/>
  <c r="AI147" i="3"/>
  <c r="AI140" i="3"/>
  <c r="AI189" i="3"/>
  <c r="AI227" i="3"/>
  <c r="AI259" i="3"/>
  <c r="AI159" i="3"/>
  <c r="AI209" i="3"/>
  <c r="AI257" i="3"/>
  <c r="AI225" i="3"/>
  <c r="AI228" i="3"/>
  <c r="AI214" i="3"/>
  <c r="AI114" i="3"/>
  <c r="AI251" i="3"/>
  <c r="AI254" i="3"/>
  <c r="AI200" i="3"/>
  <c r="AI118" i="3"/>
  <c r="AI119" i="3"/>
  <c r="AI240" i="3"/>
  <c r="AI184" i="3"/>
  <c r="AI173" i="3"/>
  <c r="AI125" i="3"/>
  <c r="AI247" i="3"/>
  <c r="AI198" i="3"/>
  <c r="AI149" i="3"/>
  <c r="AI139" i="3"/>
  <c r="AI207" i="3"/>
  <c r="AI155" i="3"/>
  <c r="AI134" i="3"/>
  <c r="AI237" i="3"/>
  <c r="AI164" i="3"/>
  <c r="AI146" i="3"/>
  <c r="AI141" i="3"/>
  <c r="AI235" i="3"/>
  <c r="AI202" i="3"/>
  <c r="AI258" i="3"/>
  <c r="AI187" i="3"/>
  <c r="AI246" i="3"/>
  <c r="AI153" i="3"/>
  <c r="AI176" i="3"/>
  <c r="AI204" i="3"/>
  <c r="AI115" i="3"/>
  <c r="AI183" i="3"/>
  <c r="AI131" i="3"/>
  <c r="AI137" i="3"/>
  <c r="AI179" i="3"/>
  <c r="AI210" i="3"/>
  <c r="S106" i="1"/>
  <c r="F69" i="7"/>
  <c r="F27" i="7"/>
  <c r="F90" i="8"/>
  <c r="F5" i="7"/>
  <c r="F6" i="8"/>
  <c r="F90" i="7"/>
  <c r="F48" i="7"/>
  <c r="F27" i="8"/>
  <c r="F68" i="8"/>
  <c r="F47" i="8"/>
  <c r="M4" i="3"/>
  <c r="AH154" i="1"/>
  <c r="AH218" i="1"/>
  <c r="AH282" i="1"/>
  <c r="AH147" i="1"/>
  <c r="AH211" i="1"/>
  <c r="AH275" i="1"/>
  <c r="AH140" i="1"/>
  <c r="AH204" i="1"/>
  <c r="AH268" i="1"/>
  <c r="AH149" i="1"/>
  <c r="AH249" i="1"/>
  <c r="AH150" i="1"/>
  <c r="AH253" i="1"/>
  <c r="AH151" i="1"/>
  <c r="AH254" i="1"/>
  <c r="AH152" i="1"/>
  <c r="AH255" i="1"/>
  <c r="AH153" i="1"/>
  <c r="AH256" i="1"/>
  <c r="AH118" i="1"/>
  <c r="AH222" i="1"/>
  <c r="AH145" i="1"/>
  <c r="AH271" i="1"/>
  <c r="AH208" i="1"/>
  <c r="AH312" i="1"/>
  <c r="AH162" i="1"/>
  <c r="AH226" i="1"/>
  <c r="AH290" i="1"/>
  <c r="AH155" i="1"/>
  <c r="AH219" i="1"/>
  <c r="AH283" i="1"/>
  <c r="AH148" i="1"/>
  <c r="AH212" i="1"/>
  <c r="AH276" i="1"/>
  <c r="AH160" i="1"/>
  <c r="AH263" i="1"/>
  <c r="AH161" i="1"/>
  <c r="AH264" i="1"/>
  <c r="AH165" i="1"/>
  <c r="AH265" i="1"/>
  <c r="AH166" i="1"/>
  <c r="AH269" i="1"/>
  <c r="AH167" i="1"/>
  <c r="AH270" i="1"/>
  <c r="AH133" i="1"/>
  <c r="AH257" i="1"/>
  <c r="AH197" i="1"/>
  <c r="AH301" i="1"/>
  <c r="AH246" i="1"/>
  <c r="AH182" i="1"/>
  <c r="AH170" i="1"/>
  <c r="AH234" i="1"/>
  <c r="AH298" i="1"/>
  <c r="AH163" i="1"/>
  <c r="AH227" i="1"/>
  <c r="AH291" i="1"/>
  <c r="AH156" i="1"/>
  <c r="AH220" i="1"/>
  <c r="AH284" i="1"/>
  <c r="AH174" i="1"/>
  <c r="AH277" i="1"/>
  <c r="AH175" i="1"/>
  <c r="AH278" i="1"/>
  <c r="AH176" i="1"/>
  <c r="AH279" i="1"/>
  <c r="AH177" i="1"/>
  <c r="AH280" i="1"/>
  <c r="AH181" i="1"/>
  <c r="AH281" i="1"/>
  <c r="AH144" i="1"/>
  <c r="AH287" i="1"/>
  <c r="AH232" i="1"/>
  <c r="AH159" i="1"/>
  <c r="AH273" i="1"/>
  <c r="AH221" i="1"/>
  <c r="AH178" i="1"/>
  <c r="AH242" i="1"/>
  <c r="AH306" i="1"/>
  <c r="AH171" i="1"/>
  <c r="AH235" i="1"/>
  <c r="AH299" i="1"/>
  <c r="AH164" i="1"/>
  <c r="AH228" i="1"/>
  <c r="AH292" i="1"/>
  <c r="AH185" i="1"/>
  <c r="AH288" i="1"/>
  <c r="AH189" i="1"/>
  <c r="AH289" i="1"/>
  <c r="AH190" i="1"/>
  <c r="AH293" i="1"/>
  <c r="AH191" i="1"/>
  <c r="AH294" i="1"/>
  <c r="AH192" i="1"/>
  <c r="AH295" i="1"/>
  <c r="AH158" i="1"/>
  <c r="AH134" i="1"/>
  <c r="AH262" i="1"/>
  <c r="AH207" i="1"/>
  <c r="AH311" i="1"/>
  <c r="AH248" i="1"/>
  <c r="AH122" i="1"/>
  <c r="AH186" i="1"/>
  <c r="AH250" i="1"/>
  <c r="AH314" i="1"/>
  <c r="AH179" i="1"/>
  <c r="AH243" i="1"/>
  <c r="AH307" i="1"/>
  <c r="AH172" i="1"/>
  <c r="AH236" i="1"/>
  <c r="AH300" i="1"/>
  <c r="AH199" i="1"/>
  <c r="AH302" i="1"/>
  <c r="AH200" i="1"/>
  <c r="AH303" i="1"/>
  <c r="AH201" i="1"/>
  <c r="AH304" i="1"/>
  <c r="AH205" i="1"/>
  <c r="AH305" i="1"/>
  <c r="AH206" i="1"/>
  <c r="AH309" i="1"/>
  <c r="AH169" i="1"/>
  <c r="AH193" i="1"/>
  <c r="AH297" i="1"/>
  <c r="AH237" i="1"/>
  <c r="AH173" i="1"/>
  <c r="AH286" i="1"/>
  <c r="AH130" i="1"/>
  <c r="AH194" i="1"/>
  <c r="AH258" i="1"/>
  <c r="AH123" i="1"/>
  <c r="AH187" i="1"/>
  <c r="AH251" i="1"/>
  <c r="AH315" i="1"/>
  <c r="AH180" i="1"/>
  <c r="AH244" i="1"/>
  <c r="AH308" i="1"/>
  <c r="AH213" i="1"/>
  <c r="AH313" i="1"/>
  <c r="AH214" i="1"/>
  <c r="AH316" i="1"/>
  <c r="AH215" i="1"/>
  <c r="AH317" i="1"/>
  <c r="AH216" i="1"/>
  <c r="AH117" i="1"/>
  <c r="AH217" i="1"/>
  <c r="AH121" i="1"/>
  <c r="AH183" i="1"/>
  <c r="AH223" i="1"/>
  <c r="AH157" i="1"/>
  <c r="AH272" i="1"/>
  <c r="AH209" i="1"/>
  <c r="AH138" i="1"/>
  <c r="AH202" i="1"/>
  <c r="AH266" i="1"/>
  <c r="AH131" i="1"/>
  <c r="AH195" i="1"/>
  <c r="AH259" i="1"/>
  <c r="AH124" i="1"/>
  <c r="AH188" i="1"/>
  <c r="AH252" i="1"/>
  <c r="AH119" i="1"/>
  <c r="AH224" i="1"/>
  <c r="AH125" i="1"/>
  <c r="AH225" i="1"/>
  <c r="AH126" i="1"/>
  <c r="AH229" i="1"/>
  <c r="AH127" i="1"/>
  <c r="AH230" i="1"/>
  <c r="AH128" i="1"/>
  <c r="AH231" i="1"/>
  <c r="AH129" i="1"/>
  <c r="AH120" i="1"/>
  <c r="AH261" i="1"/>
  <c r="AH198" i="1"/>
  <c r="AH310" i="1"/>
  <c r="AH247" i="1"/>
  <c r="AH146" i="1"/>
  <c r="AH210" i="1"/>
  <c r="AH274" i="1"/>
  <c r="AH139" i="1"/>
  <c r="AH203" i="1"/>
  <c r="AH267" i="1"/>
  <c r="AH132" i="1"/>
  <c r="AH196" i="1"/>
  <c r="AH260" i="1"/>
  <c r="AH135" i="1"/>
  <c r="AH238" i="1"/>
  <c r="AH136" i="1"/>
  <c r="AH239" i="1"/>
  <c r="AH137" i="1"/>
  <c r="AH240" i="1"/>
  <c r="AH141" i="1"/>
  <c r="AH241" i="1"/>
  <c r="AH142" i="1"/>
  <c r="AH245" i="1"/>
  <c r="AH143" i="1"/>
  <c r="AH184" i="1"/>
  <c r="AH296" i="1"/>
  <c r="AH233" i="1"/>
  <c r="AH168" i="1"/>
  <c r="AH285" i="1"/>
  <c r="AK152" i="3"/>
  <c r="AK256" i="3"/>
  <c r="AK207" i="3"/>
  <c r="AK181" i="3"/>
  <c r="AK234" i="3"/>
  <c r="AK139" i="3"/>
  <c r="AK123" i="3"/>
  <c r="AK183" i="3"/>
  <c r="AK251" i="3"/>
  <c r="AK160" i="3"/>
  <c r="AK192" i="3"/>
  <c r="AK211" i="3"/>
  <c r="AK128" i="3"/>
  <c r="AK125" i="3"/>
  <c r="AK162" i="3"/>
  <c r="AK213" i="3"/>
  <c r="AK231" i="3"/>
  <c r="AK174" i="3"/>
  <c r="AK116" i="3"/>
  <c r="AK201" i="3"/>
  <c r="AK117" i="3"/>
  <c r="AK127" i="3"/>
  <c r="AK194" i="3"/>
  <c r="AK159" i="3"/>
  <c r="AK161" i="3"/>
  <c r="AK133" i="3"/>
  <c r="AK150" i="3"/>
  <c r="AK203" i="3"/>
  <c r="AK121" i="3"/>
  <c r="AK220" i="3"/>
  <c r="AK216" i="3"/>
  <c r="AK225" i="3"/>
  <c r="AK149" i="3"/>
  <c r="AK226" i="3"/>
  <c r="AK155" i="3"/>
  <c r="AK119" i="3"/>
  <c r="AK172" i="3"/>
  <c r="AK146" i="3"/>
  <c r="AK218" i="3"/>
  <c r="AK254" i="3"/>
  <c r="AK182" i="3"/>
  <c r="AK129" i="3"/>
  <c r="AK175" i="3"/>
  <c r="AK206" i="3"/>
  <c r="AK212" i="3"/>
  <c r="AK130" i="3"/>
  <c r="AK178" i="3"/>
  <c r="AK209" i="3"/>
  <c r="AK158" i="3"/>
  <c r="AK151" i="3"/>
  <c r="AK136" i="3"/>
  <c r="AK223" i="3"/>
  <c r="AK239" i="3"/>
  <c r="AK145" i="3"/>
  <c r="AK140" i="3"/>
  <c r="AK238" i="3"/>
  <c r="AK120" i="3"/>
  <c r="AK122" i="3"/>
  <c r="AK261" i="3"/>
  <c r="AK156" i="3"/>
  <c r="AK131" i="3"/>
  <c r="AK252" i="3"/>
  <c r="AK180" i="3"/>
  <c r="AK190" i="3"/>
  <c r="AK262" i="3"/>
  <c r="AK258" i="3"/>
  <c r="AK222" i="3"/>
  <c r="AK132" i="3"/>
  <c r="AK242" i="3"/>
  <c r="AK248" i="3"/>
  <c r="AK165" i="3"/>
  <c r="AK179" i="3"/>
  <c r="AK169" i="3"/>
  <c r="AK249" i="3"/>
  <c r="AK240" i="3"/>
  <c r="AK199" i="3"/>
  <c r="AK148" i="3"/>
  <c r="AK193" i="3"/>
  <c r="AK170" i="3"/>
  <c r="AK191" i="3"/>
  <c r="AK241" i="3"/>
  <c r="AK163" i="3"/>
  <c r="AK244" i="3"/>
  <c r="AK217" i="3"/>
  <c r="AK237" i="3"/>
  <c r="AK124" i="3"/>
  <c r="AK214" i="3"/>
  <c r="AK227" i="3"/>
  <c r="AK224" i="3"/>
  <c r="AK138" i="3"/>
  <c r="AK154" i="3"/>
  <c r="AK187" i="3"/>
  <c r="AK114" i="3"/>
  <c r="AK137" i="3"/>
  <c r="AK135" i="3"/>
  <c r="AK259" i="3"/>
  <c r="AK245" i="3"/>
  <c r="AK168" i="3"/>
  <c r="AK215" i="3"/>
  <c r="AK166" i="3"/>
  <c r="AK255" i="3"/>
  <c r="AK219" i="3"/>
  <c r="AK186" i="3"/>
  <c r="AK188" i="3"/>
  <c r="AK204" i="3"/>
  <c r="AK221" i="3"/>
  <c r="AK153" i="3"/>
  <c r="AK173" i="3"/>
  <c r="AK126" i="3"/>
  <c r="AK197" i="3"/>
  <c r="AK210" i="3"/>
  <c r="AK171" i="3"/>
  <c r="AK118" i="3"/>
  <c r="AK164" i="3"/>
  <c r="AK230" i="3"/>
  <c r="AK167" i="3"/>
  <c r="AK157" i="3"/>
  <c r="AK185" i="3"/>
  <c r="AK143" i="3"/>
  <c r="AK236" i="3"/>
  <c r="AK195" i="3"/>
  <c r="AK229" i="3"/>
  <c r="AK235" i="3"/>
  <c r="AK147" i="3"/>
  <c r="AK246" i="3"/>
  <c r="AK243" i="3"/>
  <c r="AK228" i="3"/>
  <c r="AK253" i="3"/>
  <c r="AK198" i="3"/>
  <c r="AK176" i="3"/>
  <c r="AK202" i="3"/>
  <c r="AK247" i="3"/>
  <c r="AK142" i="3"/>
  <c r="AK260" i="3"/>
  <c r="AK208" i="3"/>
  <c r="AK189" i="3"/>
  <c r="AK205" i="3"/>
  <c r="AK232" i="3"/>
  <c r="AK200" i="3"/>
  <c r="AK184" i="3"/>
  <c r="AK250" i="3"/>
  <c r="AK144" i="3"/>
  <c r="AK263" i="3"/>
  <c r="AK115" i="3"/>
  <c r="AK177" i="3"/>
  <c r="AK257" i="3"/>
  <c r="AK134" i="3"/>
  <c r="AK196" i="3"/>
  <c r="AK141" i="3"/>
  <c r="AK233" i="3"/>
  <c r="M5" i="3"/>
  <c r="M25" i="3"/>
  <c r="M27" i="1"/>
  <c r="AM215" i="3"/>
  <c r="AM147" i="3"/>
  <c r="AM133" i="3"/>
  <c r="AM244" i="3"/>
  <c r="AM135" i="3"/>
  <c r="AM160" i="3"/>
  <c r="AM158" i="3"/>
  <c r="AM179" i="3"/>
  <c r="AM255" i="3"/>
  <c r="AM164" i="3"/>
  <c r="AM213" i="3"/>
  <c r="AM234" i="3"/>
  <c r="AM261" i="3"/>
  <c r="AM126" i="3"/>
  <c r="AM224" i="3"/>
  <c r="AM207" i="3"/>
  <c r="AM249" i="3"/>
  <c r="AM173" i="3"/>
  <c r="AM204" i="3"/>
  <c r="AM205" i="3"/>
  <c r="AM142" i="3"/>
  <c r="AM254" i="3"/>
  <c r="AM231" i="3"/>
  <c r="AM117" i="3"/>
  <c r="AM154" i="3"/>
  <c r="AM127" i="3"/>
  <c r="AM200" i="3"/>
  <c r="AM128" i="3"/>
  <c r="AM199" i="3"/>
  <c r="AM185" i="3"/>
  <c r="AM169" i="3"/>
  <c r="AM222" i="3"/>
  <c r="AM148" i="3"/>
  <c r="AM150" i="3"/>
  <c r="AM191" i="3"/>
  <c r="AM225" i="3"/>
  <c r="AM214" i="3"/>
  <c r="AM250" i="3"/>
  <c r="AM115" i="3"/>
  <c r="AM188" i="3"/>
  <c r="AM153" i="3"/>
  <c r="AM139" i="3"/>
  <c r="AM189" i="3"/>
  <c r="AM217" i="3"/>
  <c r="AM166" i="3"/>
  <c r="AM138" i="3"/>
  <c r="AM258" i="3"/>
  <c r="AM236" i="3"/>
  <c r="AM186" i="3"/>
  <c r="AM241" i="3"/>
  <c r="AM125" i="3"/>
  <c r="AM220" i="3"/>
  <c r="AM144" i="3"/>
  <c r="AM239" i="3"/>
  <c r="AM198" i="3"/>
  <c r="AM156" i="3"/>
  <c r="AM218" i="3"/>
  <c r="AM262" i="3"/>
  <c r="AM253" i="3"/>
  <c r="AM209" i="3"/>
  <c r="AM146" i="3"/>
  <c r="AM206" i="3"/>
  <c r="AM242" i="3"/>
  <c r="AM195" i="3"/>
  <c r="AM116" i="3"/>
  <c r="AM212" i="3"/>
  <c r="AM149" i="3"/>
  <c r="AM132" i="3"/>
  <c r="AM210" i="3"/>
  <c r="AM121" i="3"/>
  <c r="AM228" i="3"/>
  <c r="AM119" i="3"/>
  <c r="AM159" i="3"/>
  <c r="AM145" i="3"/>
  <c r="AM252" i="3"/>
  <c r="AM230" i="3"/>
  <c r="AM124" i="3"/>
  <c r="AM211" i="3"/>
  <c r="AM130" i="3"/>
  <c r="AM243" i="3"/>
  <c r="AM140" i="3"/>
  <c r="AM134" i="3"/>
  <c r="AM229" i="3"/>
  <c r="AM137" i="3"/>
  <c r="AM203" i="3"/>
  <c r="AM163" i="3"/>
  <c r="AM226" i="3"/>
  <c r="AM152" i="3"/>
  <c r="AM141" i="3"/>
  <c r="AM176" i="3"/>
  <c r="AM177" i="3"/>
  <c r="AM197" i="3"/>
  <c r="AM114" i="3"/>
  <c r="AM167" i="3"/>
  <c r="AM180" i="3"/>
  <c r="AM246" i="3"/>
  <c r="AM183" i="3"/>
  <c r="AM259" i="3"/>
  <c r="AM129" i="3"/>
  <c r="AM240" i="3"/>
  <c r="AM248" i="3"/>
  <c r="AM151" i="3"/>
  <c r="AM175" i="3"/>
  <c r="AM256" i="3"/>
  <c r="AM192" i="3"/>
  <c r="AM120" i="3"/>
  <c r="AM257" i="3"/>
  <c r="AM193" i="3"/>
  <c r="AM216" i="3"/>
  <c r="AM263" i="3"/>
  <c r="AM247" i="3"/>
  <c r="AM118" i="3"/>
  <c r="AM172" i="3"/>
  <c r="AM219" i="3"/>
  <c r="AM122" i="3"/>
  <c r="AM168" i="3"/>
  <c r="AM201" i="3"/>
  <c r="AM143" i="3"/>
  <c r="AM221" i="3"/>
  <c r="AM227" i="3"/>
  <c r="AM196" i="3"/>
  <c r="AM233" i="3"/>
  <c r="AM194" i="3"/>
  <c r="AM260" i="3"/>
  <c r="AM162" i="3"/>
  <c r="AM174" i="3"/>
  <c r="AM184" i="3"/>
  <c r="AM170" i="3"/>
  <c r="AM171" i="3"/>
  <c r="AM123" i="3"/>
  <c r="AM223" i="3"/>
  <c r="AM155" i="3"/>
  <c r="AM202" i="3"/>
  <c r="AM165" i="3"/>
  <c r="AM181" i="3"/>
  <c r="AM187" i="3"/>
  <c r="AM161" i="3"/>
  <c r="AM208" i="3"/>
  <c r="AM136" i="3"/>
  <c r="AM245" i="3"/>
  <c r="AM131" i="3"/>
  <c r="AM237" i="3"/>
  <c r="AM238" i="3"/>
  <c r="AM182" i="3"/>
  <c r="AM157" i="3"/>
  <c r="AM190" i="3"/>
  <c r="AM235" i="3"/>
  <c r="AM178" i="3"/>
  <c r="AM232" i="3"/>
  <c r="AM251" i="3"/>
  <c r="M27" i="3"/>
  <c r="M26" i="3"/>
  <c r="AL132" i="1"/>
  <c r="AL158" i="1"/>
  <c r="AL222" i="1"/>
  <c r="AL286" i="1"/>
  <c r="AL142" i="1"/>
  <c r="AL288" i="1"/>
  <c r="AL235" i="1"/>
  <c r="AL167" i="1"/>
  <c r="AL231" i="1"/>
  <c r="AL311" i="1"/>
  <c r="AL248" i="1"/>
  <c r="AL233" i="1"/>
  <c r="AL144" i="1"/>
  <c r="AL136" i="1"/>
  <c r="AL297" i="1"/>
  <c r="AL134" i="1"/>
  <c r="AL148" i="1"/>
  <c r="AL174" i="1"/>
  <c r="AL238" i="1"/>
  <c r="AL302" i="1"/>
  <c r="AL192" i="1"/>
  <c r="AL290" i="1"/>
  <c r="AL291" i="1"/>
  <c r="AL183" i="1"/>
  <c r="AL124" i="1"/>
  <c r="AL182" i="1"/>
  <c r="AL262" i="1"/>
  <c r="AL123" i="1"/>
  <c r="AL314" i="1"/>
  <c r="AL141" i="1"/>
  <c r="AL223" i="1"/>
  <c r="AL133" i="1"/>
  <c r="AL280" i="1"/>
  <c r="AL273" i="1"/>
  <c r="AL226" i="1"/>
  <c r="AL299" i="1"/>
  <c r="AL267" i="1"/>
  <c r="AL201" i="1"/>
  <c r="AL202" i="1"/>
  <c r="AL219" i="1"/>
  <c r="AL120" i="1"/>
  <c r="AL188" i="1"/>
  <c r="AL252" i="1"/>
  <c r="AL316" i="1"/>
  <c r="AL197" i="1"/>
  <c r="AL157" i="1"/>
  <c r="AL301" i="1"/>
  <c r="AL131" i="1"/>
  <c r="AL251" i="1"/>
  <c r="AL308" i="1"/>
  <c r="AL140" i="1"/>
  <c r="AL190" i="1"/>
  <c r="AL270" i="1"/>
  <c r="AL168" i="1"/>
  <c r="AL145" i="1"/>
  <c r="AL150" i="1"/>
  <c r="AL239" i="1"/>
  <c r="AL151" i="1"/>
  <c r="AL296" i="1"/>
  <c r="AL289" i="1"/>
  <c r="AL250" i="1"/>
  <c r="AL160" i="1"/>
  <c r="AL125" i="1"/>
  <c r="AL217" i="1"/>
  <c r="AL218" i="1"/>
  <c r="AL243" i="1"/>
  <c r="AL128" i="1"/>
  <c r="AL196" i="1"/>
  <c r="AL260" i="1"/>
  <c r="AL181" i="1"/>
  <c r="AL261" i="1"/>
  <c r="AL221" i="1"/>
  <c r="AL198" i="1"/>
  <c r="AL171" i="1"/>
  <c r="AL159" i="1"/>
  <c r="AL176" i="1"/>
  <c r="AL312" i="1"/>
  <c r="AL305" i="1"/>
  <c r="AL266" i="1"/>
  <c r="AL143" i="1"/>
  <c r="AL241" i="1"/>
  <c r="AL242" i="1"/>
  <c r="AL275" i="1"/>
  <c r="AL137" i="1"/>
  <c r="AL268" i="1"/>
  <c r="AL245" i="1"/>
  <c r="AL138" i="1"/>
  <c r="AL285" i="1"/>
  <c r="AL184" i="1"/>
  <c r="AL313" i="1"/>
  <c r="AL178" i="1"/>
  <c r="AL152" i="1"/>
  <c r="AL258" i="1"/>
  <c r="AL307" i="1"/>
  <c r="AL146" i="1"/>
  <c r="AL212" i="1"/>
  <c r="AL276" i="1"/>
  <c r="AL205" i="1"/>
  <c r="AL165" i="1"/>
  <c r="AL282" i="1"/>
  <c r="AL298" i="1"/>
  <c r="AL228" i="1"/>
  <c r="AL292" i="1"/>
  <c r="AL156" i="1"/>
  <c r="AL278" i="1"/>
  <c r="AL208" i="1"/>
  <c r="AL247" i="1"/>
  <c r="AL257" i="1"/>
  <c r="AL204" i="1"/>
  <c r="AL153" i="1"/>
  <c r="AL189" i="1"/>
  <c r="AL180" i="1"/>
  <c r="AL118" i="1"/>
  <c r="AL206" i="1"/>
  <c r="AL294" i="1"/>
  <c r="AL224" i="1"/>
  <c r="AL187" i="1"/>
  <c r="AL175" i="1"/>
  <c r="AL255" i="1"/>
  <c r="AL185" i="1"/>
  <c r="AL306" i="1"/>
  <c r="AL281" i="1"/>
  <c r="AL309" i="1"/>
  <c r="AL164" i="1"/>
  <c r="AL293" i="1"/>
  <c r="AL304" i="1"/>
  <c r="AL210" i="1"/>
  <c r="AL283" i="1"/>
  <c r="AL130" i="1"/>
  <c r="AL214" i="1"/>
  <c r="AL310" i="1"/>
  <c r="AL240" i="1"/>
  <c r="AL211" i="1"/>
  <c r="AL191" i="1"/>
  <c r="AL263" i="1"/>
  <c r="AL200" i="1"/>
  <c r="AL209" i="1"/>
  <c r="AL126" i="1"/>
  <c r="AL179" i="1"/>
  <c r="AL234" i="1"/>
  <c r="AL161" i="1"/>
  <c r="AL135" i="1"/>
  <c r="AL274" i="1"/>
  <c r="AL119" i="1"/>
  <c r="AL155" i="1"/>
  <c r="AL220" i="1"/>
  <c r="AL284" i="1"/>
  <c r="AL121" i="1"/>
  <c r="AL269" i="1"/>
  <c r="AL229" i="1"/>
  <c r="AL186" i="1"/>
  <c r="AL139" i="1"/>
  <c r="AL230" i="1"/>
  <c r="AL317" i="1"/>
  <c r="AL256" i="1"/>
  <c r="AL259" i="1"/>
  <c r="AL199" i="1"/>
  <c r="AL271" i="1"/>
  <c r="AL216" i="1"/>
  <c r="AL225" i="1"/>
  <c r="AL162" i="1"/>
  <c r="AL203" i="1"/>
  <c r="AL169" i="1"/>
  <c r="AL315" i="1"/>
  <c r="AL147" i="1"/>
  <c r="AL254" i="1"/>
  <c r="AL215" i="1"/>
  <c r="AL264" i="1"/>
  <c r="AL195" i="1"/>
  <c r="AL163" i="1"/>
  <c r="AL129" i="1"/>
  <c r="AL237" i="1"/>
  <c r="AL149" i="1"/>
  <c r="AL246" i="1"/>
  <c r="AL287" i="1"/>
  <c r="AL272" i="1"/>
  <c r="AL122" i="1"/>
  <c r="AL207" i="1"/>
  <c r="AL279" i="1"/>
  <c r="AL232" i="1"/>
  <c r="AL249" i="1"/>
  <c r="AL194" i="1"/>
  <c r="AL227" i="1"/>
  <c r="AL127" i="1"/>
  <c r="AL177" i="1"/>
  <c r="AL170" i="1"/>
  <c r="AL117" i="1"/>
  <c r="AL154" i="1"/>
  <c r="AL172" i="1"/>
  <c r="AL236" i="1"/>
  <c r="AL300" i="1"/>
  <c r="AL253" i="1"/>
  <c r="AL213" i="1"/>
  <c r="AL173" i="1"/>
  <c r="AL166" i="1"/>
  <c r="AL303" i="1"/>
  <c r="AL295" i="1"/>
  <c r="AL265" i="1"/>
  <c r="AL193" i="1"/>
  <c r="AL244" i="1"/>
  <c r="AL277" i="1"/>
  <c r="AQ225" i="3"/>
  <c r="AQ163" i="3"/>
  <c r="AQ115" i="3"/>
  <c r="AQ179" i="3"/>
  <c r="AQ217" i="3"/>
  <c r="AQ151" i="3"/>
  <c r="AQ114" i="3"/>
  <c r="AQ148" i="3"/>
  <c r="AQ149" i="3"/>
  <c r="AQ123" i="3"/>
  <c r="AQ165" i="3"/>
  <c r="AQ164" i="3"/>
  <c r="AQ121" i="3"/>
  <c r="AQ159" i="3"/>
  <c r="AQ242" i="3"/>
  <c r="AQ127" i="3"/>
  <c r="AQ252" i="3"/>
  <c r="AQ173" i="3"/>
  <c r="AQ260" i="3"/>
  <c r="AQ222" i="3"/>
  <c r="AQ241" i="3"/>
  <c r="AQ199" i="3"/>
  <c r="AQ234" i="3"/>
  <c r="AQ200" i="3"/>
  <c r="AQ161" i="3"/>
  <c r="AQ229" i="3"/>
  <c r="AQ212" i="3"/>
  <c r="AQ154" i="3"/>
  <c r="AQ253" i="3"/>
  <c r="AQ141" i="3"/>
  <c r="AQ219" i="3"/>
  <c r="AQ153" i="3"/>
  <c r="AQ117" i="3"/>
  <c r="AQ131" i="3"/>
  <c r="AQ189" i="3"/>
  <c r="AQ139" i="3"/>
  <c r="AQ147" i="3"/>
  <c r="AQ137" i="3"/>
  <c r="AQ119" i="3"/>
  <c r="AQ190" i="3"/>
  <c r="AQ250" i="3"/>
  <c r="AQ239" i="3"/>
  <c r="AQ248" i="3"/>
  <c r="AQ214" i="3"/>
  <c r="AQ215" i="3"/>
  <c r="AQ249" i="3"/>
  <c r="AQ152" i="3"/>
  <c r="AQ226" i="3"/>
  <c r="AQ191" i="3"/>
  <c r="AQ210" i="3"/>
  <c r="AQ196" i="3"/>
  <c r="AQ197" i="3"/>
  <c r="AQ216" i="3"/>
  <c r="AQ172" i="3"/>
  <c r="AQ247" i="3"/>
  <c r="AQ146" i="3"/>
  <c r="AQ134" i="3"/>
  <c r="AQ181" i="3"/>
  <c r="AQ169" i="3"/>
  <c r="AQ238" i="3"/>
  <c r="AQ233" i="3"/>
  <c r="AQ224" i="3"/>
  <c r="AQ208" i="3"/>
  <c r="AQ261" i="3"/>
  <c r="AQ133" i="3"/>
  <c r="AQ218" i="3"/>
  <c r="AQ213" i="3"/>
  <c r="AQ262" i="3"/>
  <c r="AQ223" i="3"/>
  <c r="AQ125" i="3"/>
  <c r="AQ243" i="3"/>
  <c r="AQ122" i="3"/>
  <c r="AQ136" i="3"/>
  <c r="AQ116" i="3"/>
  <c r="AQ124" i="3"/>
  <c r="AQ195" i="3"/>
  <c r="AQ203" i="3"/>
  <c r="AQ158" i="3"/>
  <c r="AQ118" i="3"/>
  <c r="AQ168" i="3"/>
  <c r="AQ176" i="3"/>
  <c r="AQ232" i="3"/>
  <c r="AQ132" i="3"/>
  <c r="AQ231" i="3"/>
  <c r="AQ185" i="3"/>
  <c r="AQ128" i="3"/>
  <c r="AQ144" i="3"/>
  <c r="AQ166" i="3"/>
  <c r="AQ138" i="3"/>
  <c r="AQ140" i="3"/>
  <c r="AQ228" i="3"/>
  <c r="AQ256" i="3"/>
  <c r="AQ194" i="3"/>
  <c r="AQ120" i="3"/>
  <c r="AQ246" i="3"/>
  <c r="AQ188" i="3"/>
  <c r="AQ206" i="3"/>
  <c r="AQ183" i="3"/>
  <c r="AQ207" i="3"/>
  <c r="AQ177" i="3"/>
  <c r="AQ135" i="3"/>
  <c r="AQ193" i="3"/>
  <c r="AQ145" i="3"/>
  <c r="AQ160" i="3"/>
  <c r="AQ236" i="3"/>
  <c r="AQ155" i="3"/>
  <c r="AQ258" i="3"/>
  <c r="AQ209" i="3"/>
  <c r="AQ170" i="3"/>
  <c r="AQ205" i="3"/>
  <c r="AQ221" i="3"/>
  <c r="AQ180" i="3"/>
  <c r="AQ204" i="3"/>
  <c r="AQ186" i="3"/>
  <c r="AQ198" i="3"/>
  <c r="AQ150" i="3"/>
  <c r="AQ201" i="3"/>
  <c r="AQ156" i="3"/>
  <c r="AQ143" i="3"/>
  <c r="AQ162" i="3"/>
  <c r="AQ211" i="3"/>
  <c r="AQ126" i="3"/>
  <c r="AQ129" i="3"/>
  <c r="AQ240" i="3"/>
  <c r="AQ178" i="3"/>
  <c r="AQ263" i="3"/>
  <c r="AQ184" i="3"/>
  <c r="AQ244" i="3"/>
  <c r="AQ192" i="3"/>
  <c r="AQ142" i="3"/>
  <c r="AQ237" i="3"/>
  <c r="AQ251" i="3"/>
  <c r="AQ220" i="3"/>
  <c r="AQ202" i="3"/>
  <c r="AQ167" i="3"/>
  <c r="AQ130" i="3"/>
  <c r="AQ182" i="3"/>
  <c r="AQ259" i="3"/>
  <c r="AQ255" i="3"/>
  <c r="AQ171" i="3"/>
  <c r="AQ235" i="3"/>
  <c r="AQ187" i="3"/>
  <c r="AQ175" i="3"/>
  <c r="AQ245" i="3"/>
  <c r="AQ230" i="3"/>
  <c r="AQ257" i="3"/>
  <c r="AQ254" i="3"/>
  <c r="AQ157" i="3"/>
  <c r="AQ227" i="3"/>
  <c r="AQ174" i="3"/>
  <c r="AO235" i="3"/>
  <c r="AO198" i="3"/>
  <c r="AO222" i="3"/>
  <c r="AO175" i="3"/>
  <c r="AO201" i="3"/>
  <c r="AO184" i="3"/>
  <c r="AO182" i="3"/>
  <c r="AO231" i="3"/>
  <c r="AO242" i="3"/>
  <c r="AO146" i="3"/>
  <c r="AO168" i="3"/>
  <c r="AO195" i="3"/>
  <c r="AO257" i="3"/>
  <c r="AO196" i="3"/>
  <c r="AO164" i="3"/>
  <c r="AO241" i="3"/>
  <c r="AO224" i="3"/>
  <c r="AO147" i="3"/>
  <c r="AO120" i="3"/>
  <c r="AO124" i="3"/>
  <c r="AO250" i="3"/>
  <c r="AO137" i="3"/>
  <c r="AO115" i="3"/>
  <c r="AO203" i="3"/>
  <c r="AO123" i="3"/>
  <c r="AO214" i="3"/>
  <c r="AO244" i="3"/>
  <c r="AO152" i="3"/>
  <c r="AO163" i="3"/>
  <c r="AO153" i="3"/>
  <c r="AO134" i="3"/>
  <c r="AO150" i="3"/>
  <c r="AO191" i="3"/>
  <c r="AO223" i="3"/>
  <c r="AO190" i="3"/>
  <c r="AO261" i="3"/>
  <c r="AO176" i="3"/>
  <c r="AO188" i="3"/>
  <c r="AO211" i="3"/>
  <c r="AO187" i="3"/>
  <c r="AO228" i="3"/>
  <c r="AO226" i="3"/>
  <c r="AO173" i="3"/>
  <c r="AO154" i="3"/>
  <c r="AO144" i="3"/>
  <c r="AO206" i="3"/>
  <c r="AO155" i="3"/>
  <c r="AO177" i="3"/>
  <c r="AO246" i="3"/>
  <c r="AO205" i="3"/>
  <c r="AO199" i="3"/>
  <c r="AO259" i="3"/>
  <c r="AO172" i="3"/>
  <c r="AO126" i="3"/>
  <c r="AO239" i="3"/>
  <c r="AO238" i="3"/>
  <c r="AO202" i="3"/>
  <c r="AO140" i="3"/>
  <c r="AO263" i="3"/>
  <c r="AO229" i="3"/>
  <c r="AO215" i="3"/>
  <c r="AO213" i="3"/>
  <c r="AO233" i="3"/>
  <c r="AO236" i="3"/>
  <c r="AO258" i="3"/>
  <c r="AO256" i="3"/>
  <c r="AO157" i="3"/>
  <c r="AO125" i="3"/>
  <c r="AO251" i="3"/>
  <c r="AO118" i="3"/>
  <c r="AO159" i="3"/>
  <c r="AO165" i="3"/>
  <c r="AO139" i="3"/>
  <c r="AO245" i="3"/>
  <c r="AO208" i="3"/>
  <c r="AO141" i="3"/>
  <c r="AO217" i="3"/>
  <c r="AO160" i="3"/>
  <c r="AO262" i="3"/>
  <c r="AO121" i="3"/>
  <c r="AO240" i="3"/>
  <c r="AO171" i="3"/>
  <c r="AO122" i="3"/>
  <c r="AO180" i="3"/>
  <c r="AO200" i="3"/>
  <c r="AO161" i="3"/>
  <c r="AO248" i="3"/>
  <c r="AO133" i="3"/>
  <c r="AO162" i="3"/>
  <c r="AO130" i="3"/>
  <c r="AO148" i="3"/>
  <c r="AO252" i="3"/>
  <c r="AO210" i="3"/>
  <c r="AO128" i="3"/>
  <c r="AO178" i="3"/>
  <c r="AO249" i="3"/>
  <c r="AO227" i="3"/>
  <c r="AO255" i="3"/>
  <c r="AO142" i="3"/>
  <c r="AO174" i="3"/>
  <c r="AO129" i="3"/>
  <c r="AO234" i="3"/>
  <c r="AO221" i="3"/>
  <c r="AO167" i="3"/>
  <c r="AO230" i="3"/>
  <c r="AO218" i="3"/>
  <c r="AO243" i="3"/>
  <c r="AO151" i="3"/>
  <c r="AO131" i="3"/>
  <c r="AO145" i="3"/>
  <c r="AO247" i="3"/>
  <c r="AO136" i="3"/>
  <c r="AO114" i="3"/>
  <c r="AO186" i="3"/>
  <c r="AO193" i="3"/>
  <c r="AO232" i="3"/>
  <c r="AO254" i="3"/>
  <c r="AO149" i="3"/>
  <c r="AO260" i="3"/>
  <c r="AO225" i="3"/>
  <c r="AO166" i="3"/>
  <c r="AO253" i="3"/>
  <c r="AO237" i="3"/>
  <c r="AO127" i="3"/>
  <c r="AO189" i="3"/>
  <c r="AO207" i="3"/>
  <c r="AO194" i="3"/>
  <c r="AO183" i="3"/>
  <c r="AO156" i="3"/>
  <c r="AO170" i="3"/>
  <c r="AO192" i="3"/>
  <c r="AO169" i="3"/>
  <c r="AO209" i="3"/>
  <c r="AO143" i="3"/>
  <c r="AO158" i="3"/>
  <c r="AO212" i="3"/>
  <c r="AO197" i="3"/>
  <c r="AO216" i="3"/>
  <c r="AO119" i="3"/>
  <c r="AO185" i="3"/>
  <c r="AO135" i="3"/>
  <c r="AO138" i="3"/>
  <c r="AO179" i="3"/>
  <c r="AO181" i="3"/>
  <c r="AO219" i="3"/>
  <c r="AO132" i="3"/>
  <c r="AO117" i="3"/>
  <c r="AO220" i="3"/>
  <c r="AO116" i="3"/>
  <c r="AO204" i="3"/>
  <c r="M28" i="1"/>
  <c r="AN142" i="1"/>
  <c r="AN206" i="1"/>
  <c r="AN270" i="1"/>
  <c r="AN127" i="1"/>
  <c r="AN191" i="1"/>
  <c r="AN136" i="1"/>
  <c r="AN154" i="1"/>
  <c r="AN218" i="1"/>
  <c r="AN161" i="1"/>
  <c r="AN259" i="1"/>
  <c r="AN164" i="1"/>
  <c r="AN301" i="1"/>
  <c r="AN176" i="1"/>
  <c r="AN269" i="1"/>
  <c r="AN216" i="1"/>
  <c r="AN193" i="1"/>
  <c r="AN311" i="1"/>
  <c r="AN119" i="1"/>
  <c r="AN229" i="1"/>
  <c r="AN308" i="1"/>
  <c r="AN265" i="1"/>
  <c r="AN155" i="1"/>
  <c r="AN124" i="1"/>
  <c r="AN235" i="1"/>
  <c r="AN312" i="1"/>
  <c r="AN150" i="1"/>
  <c r="AN214" i="1"/>
  <c r="AN278" i="1"/>
  <c r="AN135" i="1"/>
  <c r="AN199" i="1"/>
  <c r="AN144" i="1"/>
  <c r="AN162" i="1"/>
  <c r="AN226" i="1"/>
  <c r="AN173" i="1"/>
  <c r="AN268" i="1"/>
  <c r="AN189" i="1"/>
  <c r="AN125" i="1"/>
  <c r="AN188" i="1"/>
  <c r="AN279" i="1"/>
  <c r="AN240" i="1"/>
  <c r="AN219" i="1"/>
  <c r="AN211" i="1"/>
  <c r="AN133" i="1"/>
  <c r="AN241" i="1"/>
  <c r="AN137" i="1"/>
  <c r="AN292" i="1"/>
  <c r="AN158" i="1"/>
  <c r="AN222" i="1"/>
  <c r="AN286" i="1"/>
  <c r="AN143" i="1"/>
  <c r="AN207" i="1"/>
  <c r="AN152" i="1"/>
  <c r="AN170" i="1"/>
  <c r="AN234" i="1"/>
  <c r="AN187" i="1"/>
  <c r="AN277" i="1"/>
  <c r="AN228" i="1"/>
  <c r="AN197" i="1"/>
  <c r="AN201" i="1"/>
  <c r="AN288" i="1"/>
  <c r="AN261" i="1"/>
  <c r="AN232" i="1"/>
  <c r="AN285" i="1"/>
  <c r="AN149" i="1"/>
  <c r="AN252" i="1"/>
  <c r="AN180" i="1"/>
  <c r="AN141" i="1"/>
  <c r="AN181" i="1"/>
  <c r="AN156" i="1"/>
  <c r="AN256" i="1"/>
  <c r="AN236" i="1"/>
  <c r="AN166" i="1"/>
  <c r="AN254" i="1"/>
  <c r="AN159" i="1"/>
  <c r="AN128" i="1"/>
  <c r="AN194" i="1"/>
  <c r="AN200" i="1"/>
  <c r="AN314" i="1"/>
  <c r="AN304" i="1"/>
  <c r="AN260" i="1"/>
  <c r="AN316" i="1"/>
  <c r="AN203" i="1"/>
  <c r="AN204" i="1"/>
  <c r="AN243" i="1"/>
  <c r="AN139" i="1"/>
  <c r="AN171" i="1"/>
  <c r="AN284" i="1"/>
  <c r="AN283" i="1"/>
  <c r="AN174" i="1"/>
  <c r="AN262" i="1"/>
  <c r="AN167" i="1"/>
  <c r="AN160" i="1"/>
  <c r="AN202" i="1"/>
  <c r="AN212" i="1"/>
  <c r="AN132" i="1"/>
  <c r="AN131" i="1"/>
  <c r="AN297" i="1"/>
  <c r="AN118" i="1"/>
  <c r="AN168" i="1"/>
  <c r="AN217" i="1"/>
  <c r="AN273" i="1"/>
  <c r="AN169" i="1"/>
  <c r="AN184" i="1"/>
  <c r="AN293" i="1"/>
  <c r="AN182" i="1"/>
  <c r="AN294" i="1"/>
  <c r="AN175" i="1"/>
  <c r="AN122" i="1"/>
  <c r="AN210" i="1"/>
  <c r="AN225" i="1"/>
  <c r="AN251" i="1"/>
  <c r="AN147" i="1"/>
  <c r="AN306" i="1"/>
  <c r="AN153" i="1"/>
  <c r="AN253" i="1"/>
  <c r="AN263" i="1"/>
  <c r="AN291" i="1"/>
  <c r="AN195" i="1"/>
  <c r="AN196" i="1"/>
  <c r="AN303" i="1"/>
  <c r="AN257" i="1"/>
  <c r="AN190" i="1"/>
  <c r="AN302" i="1"/>
  <c r="AN183" i="1"/>
  <c r="AN130" i="1"/>
  <c r="AN242" i="1"/>
  <c r="AN237" i="1"/>
  <c r="AN271" i="1"/>
  <c r="AN163" i="1"/>
  <c r="AN315" i="1"/>
  <c r="AN264" i="1"/>
  <c r="AN309" i="1"/>
  <c r="AN272" i="1"/>
  <c r="AN233" i="1"/>
  <c r="AN244" i="1"/>
  <c r="AN209" i="1"/>
  <c r="AN172" i="1"/>
  <c r="AN186" i="1"/>
  <c r="AN123" i="1"/>
  <c r="AN198" i="1"/>
  <c r="AN310" i="1"/>
  <c r="AN215" i="1"/>
  <c r="AN138" i="1"/>
  <c r="AN250" i="1"/>
  <c r="AN248" i="1"/>
  <c r="AN289" i="1"/>
  <c r="AN213" i="1"/>
  <c r="AN148" i="1"/>
  <c r="AN282" i="1"/>
  <c r="AN220" i="1"/>
  <c r="AN281" i="1"/>
  <c r="AN224" i="1"/>
  <c r="AN274" i="1"/>
  <c r="AN221" i="1"/>
  <c r="AN267" i="1"/>
  <c r="AN117" i="1"/>
  <c r="AN230" i="1"/>
  <c r="AN317" i="1"/>
  <c r="AN223" i="1"/>
  <c r="AN146" i="1"/>
  <c r="AN258" i="1"/>
  <c r="AN287" i="1"/>
  <c r="AN307" i="1"/>
  <c r="AN227" i="1"/>
  <c r="AN177" i="1"/>
  <c r="AN300" i="1"/>
  <c r="AN165" i="1"/>
  <c r="AN290" i="1"/>
  <c r="AN276" i="1"/>
  <c r="AN185" i="1"/>
  <c r="AN245" i="1"/>
  <c r="AN313" i="1"/>
  <c r="AN249" i="1"/>
  <c r="AN275" i="1"/>
  <c r="AN126" i="1"/>
  <c r="AN238" i="1"/>
  <c r="AN121" i="1"/>
  <c r="AN231" i="1"/>
  <c r="AN178" i="1"/>
  <c r="AN129" i="1"/>
  <c r="AN296" i="1"/>
  <c r="AN208" i="1"/>
  <c r="AN239" i="1"/>
  <c r="AN280" i="1"/>
  <c r="AN255" i="1"/>
  <c r="AN179" i="1"/>
  <c r="AN299" i="1"/>
  <c r="AN157" i="1"/>
  <c r="AN295" i="1"/>
  <c r="AN266" i="1"/>
  <c r="AN134" i="1"/>
  <c r="AN246" i="1"/>
  <c r="AN151" i="1"/>
  <c r="AN120" i="1"/>
  <c r="AN145" i="1"/>
  <c r="AN305" i="1"/>
  <c r="AN247" i="1"/>
  <c r="AN298" i="1"/>
  <c r="AN192" i="1"/>
  <c r="AN205" i="1"/>
  <c r="AN140" i="1"/>
  <c r="F50" i="6"/>
  <c r="G50" i="6"/>
  <c r="D97" i="2"/>
</calcChain>
</file>

<file path=xl/sharedStrings.xml><?xml version="1.0" encoding="utf-8"?>
<sst xmlns="http://schemas.openxmlformats.org/spreadsheetml/2006/main" count="814" uniqueCount="588">
  <si>
    <t>II.  Calculating a GPL</t>
  </si>
  <si>
    <t>foc</t>
  </si>
  <si>
    <r>
      <t>Dg</t>
    </r>
    <r>
      <rPr>
        <vertAlign val="superscript"/>
        <sz val="10"/>
        <rFont val="Arial"/>
        <family val="2"/>
      </rPr>
      <t>a (cm2/d)</t>
    </r>
  </si>
  <si>
    <r>
      <t>D1</t>
    </r>
    <r>
      <rPr>
        <vertAlign val="superscript"/>
        <sz val="10"/>
        <rFont val="Arial"/>
        <family val="2"/>
      </rPr>
      <t>w(cm2/d)</t>
    </r>
  </si>
  <si>
    <t>Ve=Jw/((Pb)(Foc)(Koc)+θ+aKh)</t>
  </si>
  <si>
    <t>a(air filled porosity)</t>
  </si>
  <si>
    <t>A</t>
  </si>
  <si>
    <t>(Pb)(Foc)(Koc)</t>
  </si>
  <si>
    <t>(Pb)(Foc)(Koc)+θ+aKh</t>
  </si>
  <si>
    <t>Ve =</t>
  </si>
  <si>
    <t>B</t>
  </si>
  <si>
    <r>
      <t>De=((a</t>
    </r>
    <r>
      <rPr>
        <vertAlign val="superscript"/>
        <sz val="10"/>
        <rFont val="Arial"/>
        <family val="2"/>
      </rPr>
      <t>3.33</t>
    </r>
    <r>
      <rPr>
        <sz val="10"/>
        <rFont val="Arial"/>
        <family val="2"/>
      </rPr>
      <t>)(Dg</t>
    </r>
    <r>
      <rPr>
        <vertAlign val="superscript"/>
        <sz val="10"/>
        <rFont val="Arial"/>
        <family val="2"/>
      </rPr>
      <t>a</t>
    </r>
    <r>
      <rPr>
        <sz val="10"/>
        <rFont val="Arial"/>
        <family val="2"/>
      </rPr>
      <t>)(Kh)+(θ</t>
    </r>
    <r>
      <rPr>
        <vertAlign val="superscript"/>
        <sz val="10"/>
        <rFont val="Arial"/>
        <family val="2"/>
      </rPr>
      <t>3.33</t>
    </r>
    <r>
      <rPr>
        <sz val="10"/>
        <rFont val="Arial"/>
        <family val="2"/>
      </rPr>
      <t>)(D1</t>
    </r>
    <r>
      <rPr>
        <vertAlign val="superscript"/>
        <sz val="10"/>
        <rFont val="Arial"/>
        <family val="2"/>
      </rPr>
      <t>w</t>
    </r>
    <r>
      <rPr>
        <sz val="10"/>
        <rFont val="Arial"/>
        <family val="2"/>
      </rPr>
      <t>))/Φ2/((Pb)(Foc)(Koc)+θ+aKh)</t>
    </r>
  </si>
  <si>
    <t>De=</t>
  </si>
  <si>
    <t>C</t>
  </si>
  <si>
    <t>z-L-(Ve)(t)</t>
  </si>
  <si>
    <t>4De)(t).5)</t>
  </si>
  <si>
    <t>erfc(z-L-(Ve)(t)/(4De)(t).5)=</t>
  </si>
  <si>
    <t>z-L-(Ve)(t)/4De)(t).5)=</t>
  </si>
  <si>
    <t>D</t>
  </si>
  <si>
    <t>z-(Ve)(t)/4De)(t).5)</t>
  </si>
  <si>
    <t>z-(Ve)(t)</t>
  </si>
  <si>
    <t>z-(Ve)(t)/4De)(t).5 =</t>
  </si>
  <si>
    <t>E</t>
  </si>
  <si>
    <t>(1+Ve/He)(exp((Ve)(z)/De</t>
  </si>
  <si>
    <t>d(diffusion layer thickness,cm)</t>
  </si>
  <si>
    <t>F</t>
  </si>
  <si>
    <t>1+(Ve/He) =</t>
  </si>
  <si>
    <t>1+Ve/He)(exp((Ve)(z)/De =</t>
  </si>
  <si>
    <t>(Ve)(z)/De =</t>
  </si>
  <si>
    <t>G</t>
  </si>
  <si>
    <r>
      <t>erfc(z-L-(Ve)(t)/(4De)(t)</t>
    </r>
    <r>
      <rPr>
        <vertAlign val="superscript"/>
        <sz val="10"/>
        <rFont val="Arial"/>
        <family val="2"/>
      </rPr>
      <t>.5</t>
    </r>
    <r>
      <rPr>
        <sz val="10"/>
        <rFont val="Arial"/>
        <family val="2"/>
      </rPr>
      <t>)</t>
    </r>
  </si>
  <si>
    <r>
      <t>erfc(z+L+(Ve)(t)/(4De)(t)</t>
    </r>
    <r>
      <rPr>
        <vertAlign val="superscript"/>
        <sz val="10"/>
        <rFont val="Arial"/>
        <family val="2"/>
      </rPr>
      <t>.5</t>
    </r>
    <r>
      <rPr>
        <sz val="10"/>
        <rFont val="Arial"/>
        <family val="2"/>
      </rPr>
      <t>))</t>
    </r>
  </si>
  <si>
    <t>z+L+(Ve)(t) =</t>
  </si>
  <si>
    <t>z+L+(Ve)(t)/(4De)(t).5) =</t>
  </si>
  <si>
    <t>erfc(z+L+(Ve)(t)/(4De)(t).5) =</t>
  </si>
  <si>
    <t>H</t>
  </si>
  <si>
    <r>
      <t>erfc(z+(Ve)(t)/(4De)(t)</t>
    </r>
    <r>
      <rPr>
        <vertAlign val="superscript"/>
        <sz val="10"/>
        <rFont val="Arial"/>
        <family val="2"/>
      </rPr>
      <t>.5</t>
    </r>
    <r>
      <rPr>
        <sz val="10"/>
        <rFont val="Arial"/>
        <family val="2"/>
      </rPr>
      <t>)</t>
    </r>
  </si>
  <si>
    <t>z+(Ve)(t) =</t>
  </si>
  <si>
    <t>erfc(z+(Ve)(t)/(4De)(t).5) =</t>
  </si>
  <si>
    <t>I</t>
  </si>
  <si>
    <t>2+(Ve)/(He)exp((He(He+Ve)(t)+(He+Ve)z)De</t>
  </si>
  <si>
    <t>2+(Ve)/(He)</t>
  </si>
  <si>
    <t>He+Ve</t>
  </si>
  <si>
    <t>He(He+Ve)(t)</t>
  </si>
  <si>
    <t>(He+Ve)z</t>
  </si>
  <si>
    <t>He(He+Ve)(t)+(He+Ve)z</t>
  </si>
  <si>
    <t>exp((He(He+Ve)(t)+(He+Ve)z)De</t>
  </si>
  <si>
    <t>J</t>
  </si>
  <si>
    <r>
      <t>erfc(z+(2He+Ve)t)/(4Det)</t>
    </r>
    <r>
      <rPr>
        <vertAlign val="superscript"/>
        <sz val="10"/>
        <rFont val="Arial"/>
        <family val="2"/>
      </rPr>
      <t>1/2</t>
    </r>
  </si>
  <si>
    <r>
      <t>z+(2He+Ve)t/(4Det)</t>
    </r>
    <r>
      <rPr>
        <vertAlign val="superscript"/>
        <sz val="10"/>
        <rFont val="Arial"/>
        <family val="2"/>
      </rPr>
      <t>1/2</t>
    </r>
    <r>
      <rPr>
        <sz val="10"/>
        <rFont val="Arial"/>
        <family val="2"/>
      </rPr>
      <t xml:space="preserve"> =</t>
    </r>
  </si>
  <si>
    <t>erfc(z+(2He+Ve)t/(4Det)1/2) =</t>
  </si>
  <si>
    <t>erfc(z-(Ve)(t)/4De)(t).5))</t>
  </si>
  <si>
    <r>
      <t>He=(Kh)(Dg</t>
    </r>
    <r>
      <rPr>
        <vertAlign val="superscript"/>
        <sz val="10"/>
        <rFont val="Arial"/>
        <family val="2"/>
      </rPr>
      <t>a)</t>
    </r>
    <r>
      <rPr>
        <sz val="10"/>
        <rFont val="Arial"/>
        <family val="2"/>
      </rPr>
      <t>/(d((Pb)(Foc)(Koc)+θ+aKh))</t>
    </r>
  </si>
  <si>
    <t>K</t>
  </si>
  <si>
    <t>exp(He*L/De) =</t>
  </si>
  <si>
    <t>erfc(z+L+(2He+Ve)t)/(4Det)1/2</t>
  </si>
  <si>
    <t>z+L+(2He+Ve)t =</t>
  </si>
  <si>
    <r>
      <t>(4Det)</t>
    </r>
    <r>
      <rPr>
        <vertAlign val="superscript"/>
        <sz val="10"/>
        <rFont val="Arial"/>
        <family val="2"/>
      </rPr>
      <t>1/2</t>
    </r>
    <r>
      <rPr>
        <sz val="10"/>
        <rFont val="Arial"/>
        <family val="2"/>
      </rPr>
      <t>=</t>
    </r>
  </si>
  <si>
    <t>exp(-ut)</t>
  </si>
  <si>
    <r>
      <t>u=.693/T</t>
    </r>
    <r>
      <rPr>
        <vertAlign val="superscript"/>
        <sz val="10"/>
        <rFont val="Arial"/>
        <family val="2"/>
      </rPr>
      <t>1/2</t>
    </r>
  </si>
  <si>
    <t>.5*Co(exp(-ut)(erfc(z-L-(Ve)(t)/(4De)(t).5 -erfc(z-(Ve)(t)/4De)(t).5)+(1+Ve/He)(exp((Ve)(z)/De)(erfc(z+L+(Ve)(t)/(4De)(t).5)-erfc(z+(Ve)(t)/(4De)(t).5)</t>
  </si>
  <si>
    <t>L (cm)(depth of incorporation)</t>
  </si>
  <si>
    <t>He*L/De</t>
  </si>
  <si>
    <t>IF(F118&gt;225,225,F1181</t>
  </si>
  <si>
    <t>IF(F101&gt;225,225,F101,1)</t>
  </si>
  <si>
    <t>Solution of Jury Equation</t>
  </si>
  <si>
    <t>L</t>
  </si>
  <si>
    <t>M</t>
  </si>
  <si>
    <t>N</t>
  </si>
  <si>
    <t>t (days) (calculation test)</t>
  </si>
  <si>
    <r>
      <t>z+(Ve)(t)/((4)(De)(t))</t>
    </r>
    <r>
      <rPr>
        <vertAlign val="superscript"/>
        <sz val="10"/>
        <rFont val="Arial"/>
        <family val="2"/>
      </rPr>
      <t>1/2</t>
    </r>
    <r>
      <rPr>
        <sz val="10"/>
        <rFont val="Arial"/>
        <family val="2"/>
      </rPr>
      <t xml:space="preserve"> =</t>
    </r>
  </si>
  <si>
    <t>z+L+(2He+Ve)t/(4Det)1/2</t>
  </si>
  <si>
    <t>erfc(z-L-(Ve)(t)/(4De)(t).5)</t>
  </si>
  <si>
    <t>erfc(z+L+(Ve)(t)/(4De)(t).5))</t>
  </si>
  <si>
    <t>erfc(z+(2He+Ve)t)/(4Det)1/2</t>
  </si>
  <si>
    <t xml:space="preserve">         </t>
  </si>
  <si>
    <t>(K)</t>
  </si>
  <si>
    <t>(j)</t>
  </si>
  <si>
    <t>(M)</t>
  </si>
  <si>
    <t>(D)</t>
  </si>
  <si>
    <t>(E)</t>
  </si>
  <si>
    <t>(X)</t>
  </si>
  <si>
    <t>(F)</t>
  </si>
  <si>
    <t>(H)</t>
  </si>
  <si>
    <t>(N)</t>
  </si>
  <si>
    <t>Koc (cm3/g)</t>
  </si>
  <si>
    <t>((He(He+Ve)(t)+(He+Ve)z)/De</t>
  </si>
  <si>
    <t>θ (vol/vol)= water content</t>
  </si>
  <si>
    <t>Φ(total porosity)</t>
  </si>
  <si>
    <t>z -cm(depth to water) or depth of interest</t>
  </si>
  <si>
    <t xml:space="preserve">    erfc(z+(Ve)(t)/(4De)(t).5)</t>
  </si>
  <si>
    <t xml:space="preserve">             (I)</t>
  </si>
  <si>
    <t>z-L-(Ve)(t)/(4De)(t).5</t>
  </si>
  <si>
    <t>Jw (water flux- cm/d)</t>
  </si>
  <si>
    <t>T1/2 (d)</t>
  </si>
  <si>
    <t>Kh (dimensionless)</t>
  </si>
  <si>
    <t>z (total vadose zone depth, cm)</t>
  </si>
  <si>
    <t>depth</t>
  </si>
  <si>
    <t>(1+Ve/He)(exp(Ve)(z)/De)</t>
  </si>
  <si>
    <t xml:space="preserve"> </t>
  </si>
  <si>
    <t>1+(Ve/He)(exp(Ve)(z)/De)</t>
  </si>
  <si>
    <t>2+(Ve)/(He)exp((He(He+Ve)(t)+(He+Ve)z)/De)</t>
  </si>
  <si>
    <t xml:space="preserve"> (under source zone)</t>
  </si>
  <si>
    <t xml:space="preserve"> (outside source zone)</t>
  </si>
  <si>
    <t>I.  Calcuate water travel time to compliance point</t>
  </si>
  <si>
    <t>II.  Calculate concentration reduction due to degradation in the saturated zone</t>
  </si>
  <si>
    <t>C/Co</t>
  </si>
  <si>
    <r>
      <t>Co (ug/cm</t>
    </r>
    <r>
      <rPr>
        <vertAlign val="superscript"/>
        <sz val="10"/>
        <rFont val="Arial"/>
        <family val="2"/>
      </rPr>
      <t>3</t>
    </r>
    <r>
      <rPr>
        <sz val="10"/>
        <rFont val="Arial"/>
        <family val="2"/>
      </rPr>
      <t>) = (Ct)(Pbw)</t>
    </r>
  </si>
  <si>
    <t>Ot = porosity (vol voids/vol total)</t>
  </si>
  <si>
    <t>Pb = dry bulk density  (g/cm3)</t>
  </si>
  <si>
    <t>Ot-Ow =</t>
  </si>
  <si>
    <t>CL (ug/l)</t>
  </si>
  <si>
    <t>Ct = total soil contamination, ug/kg</t>
  </si>
  <si>
    <t>Ct (ug/kg)</t>
  </si>
  <si>
    <t>Cg (ug/l)</t>
  </si>
  <si>
    <t>concentration at compliance point but before well screen dilution</t>
  </si>
  <si>
    <t>Si = Infiltration rate (cm/d)</t>
  </si>
  <si>
    <t>Ai= Infiltration rate (cm/d)</t>
  </si>
  <si>
    <t>Sl = Source width (m)</t>
  </si>
  <si>
    <t>daf =</t>
  </si>
  <si>
    <t xml:space="preserve">IV.  Calculate </t>
  </si>
  <si>
    <t>t (days) =</t>
  </si>
  <si>
    <t>A. Calculate saturated zone degradation time</t>
  </si>
  <si>
    <t xml:space="preserve"> B.  Calculate the dilution factor from peak vadose zone concentration to saturated </t>
  </si>
  <si>
    <t>C.  Calculate the degraded peak liquid phase concentration at compliance point but before well screen adjustment</t>
  </si>
  <si>
    <t>D.  Calculate peak concentration adusted for well screen</t>
  </si>
  <si>
    <t>1) Calculate mixing zone depth at compliance point</t>
  </si>
  <si>
    <t xml:space="preserve">2) mixing depth = (infiltration rate)(t)/porosity  </t>
  </si>
  <si>
    <t>d (cm) =</t>
  </si>
  <si>
    <t>3) daf well screen =  well screen/d</t>
  </si>
  <si>
    <t>E.  Calculate GPL</t>
  </si>
  <si>
    <t>1) Calculate peak groundwater concentration after well screen dilution</t>
  </si>
  <si>
    <t>2) Adjust initial soil contaminant concentration and calculate GPL</t>
  </si>
  <si>
    <r>
      <t>Pb (g/cm</t>
    </r>
    <r>
      <rPr>
        <vertAlign val="superscript"/>
        <sz val="10"/>
        <rFont val="Arial"/>
        <family val="2"/>
      </rPr>
      <t>3</t>
    </r>
    <r>
      <rPr>
        <sz val="10"/>
        <rFont val="Arial"/>
        <family val="2"/>
      </rPr>
      <t>) (dry bulk density)</t>
    </r>
  </si>
  <si>
    <t>(default)</t>
  </si>
  <si>
    <t xml:space="preserve">Co/Ct </t>
  </si>
  <si>
    <t>Ct = total soil contamination (ug/kg)</t>
  </si>
  <si>
    <t>Cl (ug/l)</t>
  </si>
  <si>
    <t>(Cl=Ct/Rl)</t>
  </si>
  <si>
    <t>(Cg= Ct/Rg)</t>
  </si>
  <si>
    <t>(Cg=Ct/Rg)</t>
  </si>
  <si>
    <t xml:space="preserve">   Maximum gas phase concentration (ug/l)</t>
  </si>
  <si>
    <t>Hd*Pb =</t>
  </si>
  <si>
    <t>Foc*Koc*Pb =</t>
  </si>
  <si>
    <t>R =  Hd*Pb/((foc)(Koc)(Pb)+Ow +Hd (Ot-Ow))</t>
  </si>
  <si>
    <t>Rl (liquid phase coeffcient ) = (Pb)(foc)(Koc)+Φ+aKh</t>
  </si>
  <si>
    <t>Rg = Rl/Kh</t>
  </si>
  <si>
    <t>Co (ug/l)</t>
  </si>
  <si>
    <t xml:space="preserve">    Maximum liquid phase concentration (ug/l) = Co/Rl</t>
  </si>
  <si>
    <t>Z</t>
  </si>
  <si>
    <t>Maximum sorbed soil concentration (ug/kg) = (Cl)(Foc)(Koc)</t>
  </si>
  <si>
    <t>Cs (ug/kg)</t>
  </si>
  <si>
    <t xml:space="preserve">                                                                                                                                                                                                                                                                                                                                                                                                                                                                                                                                                                                                                                                                                                                                                                                                                                                                                                                                                                                                                                                                                                                                               </t>
  </si>
  <si>
    <t>Solution of Jury 1 Equation</t>
  </si>
  <si>
    <t>Outputs from Soil Contamination Versus Time, IntercalcsJury1</t>
  </si>
  <si>
    <r>
      <t>Pb dry g/cm</t>
    </r>
    <r>
      <rPr>
        <vertAlign val="superscript"/>
        <sz val="10"/>
        <rFont val="Arial"/>
        <family val="2"/>
      </rPr>
      <t>3</t>
    </r>
    <r>
      <rPr>
        <sz val="10"/>
        <rFont val="Arial"/>
        <family val="2"/>
      </rPr>
      <t xml:space="preserve"> </t>
    </r>
  </si>
  <si>
    <t>Maximum liquid phase concentration (ug/l)</t>
  </si>
  <si>
    <t>Maximum gas phase Concentraton (ug/l) = Kh*Max. liquid phase</t>
  </si>
  <si>
    <t>Maximum sorbed phase soil concentration (ug/kg) = (Cl)(Foc)(Koc)</t>
  </si>
  <si>
    <t>(Cl)(Foc)(Koc)</t>
  </si>
  <si>
    <t>Solution of Jury 2 equation with time fixed and depth varies</t>
  </si>
  <si>
    <t>daf =(Si)(Sl)/((Ai)(Sc) + (Si)(Sl))</t>
  </si>
  <si>
    <r>
      <t>Saturated Zone Mixing Cell Mode</t>
    </r>
    <r>
      <rPr>
        <sz val="10"/>
        <rFont val="Arial"/>
        <family val="2"/>
      </rPr>
      <t>l</t>
    </r>
  </si>
  <si>
    <t>(calculates soil concentration  protective of groundwater quality)</t>
  </si>
  <si>
    <t>Sc</t>
  </si>
  <si>
    <t>w</t>
  </si>
  <si>
    <t>d = mixing cell</t>
  </si>
  <si>
    <t>d</t>
  </si>
  <si>
    <t>s = screen</t>
  </si>
  <si>
    <t>s</t>
  </si>
  <si>
    <t>mixing cells</t>
  </si>
  <si>
    <t>well</t>
  </si>
  <si>
    <t>L = depth of</t>
  </si>
  <si>
    <t>l</t>
  </si>
  <si>
    <t>▼</t>
  </si>
  <si>
    <t>e</t>
  </si>
  <si>
    <t>c</t>
  </si>
  <si>
    <t>r</t>
  </si>
  <si>
    <t>n</t>
  </si>
  <si>
    <t>I.  Introduction</t>
  </si>
  <si>
    <t>S (water solubility, mg/l)</t>
  </si>
  <si>
    <t>Soil saturation concentration (mg/kg)  =S/Pb(Foc*Koc*Pb+θ+Kh*a)</t>
  </si>
  <si>
    <t>Compound</t>
  </si>
  <si>
    <t>Benzene</t>
  </si>
  <si>
    <t>Bromodichloromethane</t>
  </si>
  <si>
    <t>Bromoform</t>
  </si>
  <si>
    <t>Carbon disulfide</t>
  </si>
  <si>
    <t>Carbon tetrachloride</t>
  </si>
  <si>
    <t>Chlorobenzene</t>
  </si>
  <si>
    <t>Chloroform</t>
  </si>
  <si>
    <t>1,1-Dichloroethane</t>
  </si>
  <si>
    <t>1,2-Dichloroethane (DCA)</t>
  </si>
  <si>
    <t>1,2-Dichloropropane</t>
  </si>
  <si>
    <t>1,3-Dichloropropene</t>
  </si>
  <si>
    <t>Ethylbenzene</t>
  </si>
  <si>
    <t>Methyl bromide</t>
  </si>
  <si>
    <t>Methylene chloride</t>
  </si>
  <si>
    <t>Styrene</t>
  </si>
  <si>
    <t>1,1,2,2-Tetrachloroethane</t>
  </si>
  <si>
    <t>Tetrachloroethylene (PCE)</t>
  </si>
  <si>
    <t>Toluene</t>
  </si>
  <si>
    <t>1,1,1-Trichloroethane</t>
  </si>
  <si>
    <t>1,1,2-Trichlorethane</t>
  </si>
  <si>
    <t>Trichloroethylene (TCE)</t>
  </si>
  <si>
    <t>1,2,4-Trimethylbenzene</t>
  </si>
  <si>
    <t>1,3,5-Trimethylbenzene</t>
  </si>
  <si>
    <t>Vinyl acetate</t>
  </si>
  <si>
    <t>Non-Residential</t>
  </si>
  <si>
    <t xml:space="preserve"> SRL (mg/kg)</t>
  </si>
  <si>
    <t>NA</t>
  </si>
  <si>
    <t xml:space="preserve">1,2-Dibromoethane </t>
  </si>
  <si>
    <t>1,1-Dichloroethylene(DCE)</t>
  </si>
  <si>
    <t xml:space="preserve">Saturation </t>
  </si>
  <si>
    <t>(mg/kg)</t>
  </si>
  <si>
    <t>Pb</t>
  </si>
  <si>
    <t>θa (air filled content)</t>
  </si>
  <si>
    <t>θw (water filled content vol/vol)</t>
  </si>
  <si>
    <t>Sat = S/Pb(KdPb+θw+Hθa)</t>
  </si>
  <si>
    <t>o-dichlorobenzene</t>
  </si>
  <si>
    <t>p-dichlorobenzene</t>
  </si>
  <si>
    <t>Spreadsheet Min.</t>
  </si>
  <si>
    <r>
      <t>cis</t>
    </r>
    <r>
      <rPr>
        <sz val="8"/>
        <rFont val="Arial"/>
        <family val="2"/>
      </rPr>
      <t>-1,2-Dichloroethylene</t>
    </r>
  </si>
  <si>
    <r>
      <t>trans-</t>
    </r>
    <r>
      <rPr>
        <sz val="8"/>
        <rFont val="Arial"/>
        <family val="2"/>
      </rPr>
      <t>1,2-Dichloroethylene</t>
    </r>
  </si>
  <si>
    <r>
      <t>The following soil default values were used in the minimum GPL and soil saturation calculations: F</t>
    </r>
    <r>
      <rPr>
        <vertAlign val="subscript"/>
        <sz val="8"/>
        <rFont val="Arial"/>
        <family val="2"/>
      </rPr>
      <t>oc</t>
    </r>
    <r>
      <rPr>
        <sz val="8"/>
        <rFont val="Arial"/>
        <family val="2"/>
      </rPr>
      <t xml:space="preserve"> = 0.001; θ</t>
    </r>
    <r>
      <rPr>
        <vertAlign val="subscript"/>
        <sz val="8"/>
        <rFont val="Arial"/>
        <family val="2"/>
      </rPr>
      <t>w</t>
    </r>
    <r>
      <rPr>
        <sz val="8"/>
        <rFont val="Arial"/>
        <family val="2"/>
      </rPr>
      <t xml:space="preserve"> = 0.15; θ</t>
    </r>
    <r>
      <rPr>
        <vertAlign val="subscript"/>
        <sz val="8"/>
        <rFont val="Arial"/>
        <family val="2"/>
      </rPr>
      <t>t</t>
    </r>
    <r>
      <rPr>
        <sz val="8"/>
        <rFont val="Arial"/>
        <family val="2"/>
      </rPr>
      <t xml:space="preserve"> = 0.25;                ρ</t>
    </r>
    <r>
      <rPr>
        <vertAlign val="subscript"/>
        <sz val="8"/>
        <rFont val="Arial"/>
        <family val="2"/>
      </rPr>
      <t>b</t>
    </r>
    <r>
      <rPr>
        <sz val="8"/>
        <rFont val="Arial"/>
        <family val="2"/>
      </rPr>
      <t xml:space="preserve"> = 1.5 g/cm</t>
    </r>
    <r>
      <rPr>
        <vertAlign val="superscript"/>
        <sz val="8"/>
        <rFont val="Arial"/>
        <family val="2"/>
      </rPr>
      <t>3</t>
    </r>
  </si>
  <si>
    <t>Enter chemical properties</t>
  </si>
  <si>
    <t>SCS Soil Type</t>
  </si>
  <si>
    <t>SCS Soil Name</t>
  </si>
  <si>
    <t>Clay</t>
  </si>
  <si>
    <t>S</t>
  </si>
  <si>
    <t>Sand</t>
  </si>
  <si>
    <t>SC</t>
  </si>
  <si>
    <t>Sandy Clay</t>
  </si>
  <si>
    <t>SI</t>
  </si>
  <si>
    <t>Silt</t>
  </si>
  <si>
    <t>SIC</t>
  </si>
  <si>
    <t>Silty Clay</t>
  </si>
  <si>
    <t>GPL Defaults</t>
  </si>
  <si>
    <t>Chemical Properties</t>
  </si>
  <si>
    <t>New Soil Type</t>
  </si>
  <si>
    <t>Select Soil Type from drop down list</t>
  </si>
  <si>
    <t>Select chemical name from drop down list</t>
  </si>
  <si>
    <t>GPL (mg/kg) =</t>
  </si>
  <si>
    <t xml:space="preserve">Water Quality </t>
  </si>
  <si>
    <t>Standard (ug/l)</t>
  </si>
  <si>
    <t>Data Enter</t>
  </si>
  <si>
    <t>R= (Pb)(Foc)(Koc)/n  +1</t>
  </si>
  <si>
    <t xml:space="preserve">       </t>
  </si>
  <si>
    <t xml:space="preserve">max vadose zone </t>
  </si>
  <si>
    <r>
      <t>cis</t>
    </r>
    <r>
      <rPr>
        <sz val="10"/>
        <rFont val="Arial"/>
        <family val="2"/>
      </rPr>
      <t>-1,2-Dichloroethylene</t>
    </r>
  </si>
  <si>
    <r>
      <t>trans-</t>
    </r>
    <r>
      <rPr>
        <sz val="10"/>
        <rFont val="Arial"/>
        <family val="2"/>
      </rPr>
      <t>1,2-Dichloroethylene</t>
    </r>
  </si>
  <si>
    <r>
      <t>Xylenes (total)</t>
    </r>
    <r>
      <rPr>
        <vertAlign val="superscript"/>
        <sz val="10"/>
        <rFont val="Arial"/>
        <family val="2"/>
      </rPr>
      <t>3</t>
    </r>
  </si>
  <si>
    <r>
      <t>GPL</t>
    </r>
    <r>
      <rPr>
        <sz val="10"/>
        <rFont val="Arial"/>
        <family val="2"/>
      </rPr>
      <t xml:space="preserve"> (mg/kg)</t>
    </r>
  </si>
  <si>
    <t>(2007 chemical properties)</t>
  </si>
  <si>
    <r>
      <t>(2007 chemical properties</t>
    </r>
    <r>
      <rPr>
        <sz val="10"/>
        <rFont val="Arial"/>
        <family val="2"/>
      </rPr>
      <t>)</t>
    </r>
  </si>
  <si>
    <t>(1996 chemical properties)</t>
  </si>
  <si>
    <t>Saturation Concentrations and Minimum GPLs</t>
  </si>
  <si>
    <t>1996 Min. GPL</t>
  </si>
  <si>
    <t>CONTAMINANT</t>
  </si>
  <si>
    <t>Koc</t>
  </si>
  <si>
    <t>Risk-based</t>
  </si>
  <si>
    <t>Residential SRL (mg/kg)</t>
  </si>
  <si>
    <t>(L/Kg)</t>
  </si>
  <si>
    <t>(dimensionless)</t>
  </si>
  <si>
    <t>(mg/L)</t>
  </si>
  <si>
    <t>Standard (ug/L)</t>
  </si>
  <si>
    <r>
      <t>10</t>
    </r>
    <r>
      <rPr>
        <vertAlign val="superscript"/>
        <sz val="10"/>
        <rFont val="Arial"/>
        <family val="2"/>
      </rPr>
      <t>-6</t>
    </r>
    <r>
      <rPr>
        <sz val="10"/>
        <rFont val="Arial"/>
        <family val="2"/>
      </rPr>
      <t xml:space="preserve"> ELCR</t>
    </r>
  </si>
  <si>
    <r>
      <t>10</t>
    </r>
    <r>
      <rPr>
        <vertAlign val="superscript"/>
        <sz val="10"/>
        <rFont val="Arial"/>
        <family val="2"/>
      </rPr>
      <t>-5</t>
    </r>
    <r>
      <rPr>
        <sz val="10"/>
        <rFont val="Arial"/>
        <family val="2"/>
      </rPr>
      <t xml:space="preserve"> ELCR</t>
    </r>
  </si>
  <si>
    <t>Non-carc</t>
  </si>
  <si>
    <t>1,3-Butadiene</t>
  </si>
  <si>
    <t>1,4-Dioxane</t>
  </si>
  <si>
    <t>2,4-Dinitrotoluene</t>
  </si>
  <si>
    <t>2,6-Dinitrotoluene</t>
  </si>
  <si>
    <t>Acenaphthene</t>
  </si>
  <si>
    <t>Anthracene</t>
  </si>
  <si>
    <t>Bis(2-ethylhexyl)phthalate (DEHP)</t>
  </si>
  <si>
    <t>Chrysene</t>
  </si>
  <si>
    <t>Cumene (isopropylbenzene)</t>
  </si>
  <si>
    <t>Cyclohexane</t>
  </si>
  <si>
    <t>Dibenzofuran</t>
  </si>
  <si>
    <t>Dibromochloromethane</t>
  </si>
  <si>
    <t>Dichlorodifluoromethane</t>
  </si>
  <si>
    <t>Dicyclopentadiene</t>
  </si>
  <si>
    <t>Ethylene oxide</t>
  </si>
  <si>
    <t>Fluorene</t>
  </si>
  <si>
    <t>HCH (gamma) Lindane</t>
  </si>
  <si>
    <t>HCH-technical</t>
  </si>
  <si>
    <t>Heptachlor</t>
  </si>
  <si>
    <t>Heptachlor epoxide</t>
  </si>
  <si>
    <t>Hexachlorobenzene</t>
  </si>
  <si>
    <t>Hexachlorobutadiene</t>
  </si>
  <si>
    <t>Hexachlorocyclopentadiene</t>
  </si>
  <si>
    <t>Hexachloroethane</t>
  </si>
  <si>
    <t>Methyl ethyl ketone</t>
  </si>
  <si>
    <t>Methyl isobutyl ketone</t>
  </si>
  <si>
    <r>
      <t xml:space="preserve">Methyl </t>
    </r>
    <r>
      <rPr>
        <i/>
        <sz val="8"/>
        <color indexed="10"/>
        <rFont val="Arial"/>
        <family val="2"/>
      </rPr>
      <t>tert</t>
    </r>
    <r>
      <rPr>
        <sz val="8"/>
        <color indexed="10"/>
        <rFont val="Arial"/>
        <family val="2"/>
      </rPr>
      <t>-butyl ether (MTBE)</t>
    </r>
  </si>
  <si>
    <t>Methylcyclohexane</t>
  </si>
  <si>
    <t>Methylene bromide</t>
  </si>
  <si>
    <t>Naphthalene</t>
  </si>
  <si>
    <t>n-Butylbenzene</t>
  </si>
  <si>
    <t>n-Hexane</t>
  </si>
  <si>
    <t>Nitrobenzene</t>
  </si>
  <si>
    <t>n-Propylbenzene</t>
  </si>
  <si>
    <t>Pyrene</t>
  </si>
  <si>
    <t>sec-Butylbenzene</t>
  </si>
  <si>
    <t>tert-Butylbenzene</t>
  </si>
  <si>
    <t>Tetrahydrofuran</t>
  </si>
  <si>
    <t>Vinyl chloride</t>
  </si>
  <si>
    <t>Those chemical values shown in red are taken from http://www.epa.gov/opptintr/exposure/pubs/episuite.htm</t>
  </si>
  <si>
    <t>Soil Properties</t>
  </si>
  <si>
    <t>1,4-Dichlorobenzene (para)</t>
  </si>
  <si>
    <t>1,2-Dichlorobenzene (ortho)</t>
  </si>
  <si>
    <t>1,1,1-Trichloroethane*</t>
  </si>
  <si>
    <t xml:space="preserve">Calculation </t>
  </si>
  <si>
    <t>Cg (soil gas concentration ug/l)</t>
  </si>
  <si>
    <t>Cl (liquid phase concentration ug/l)</t>
  </si>
  <si>
    <t>Cg (ug/l) =Ct(( Hd*Pb/((foc)(Koc)(Pb)+Ow +Hd (Ot-Ow)))</t>
  </si>
  <si>
    <t>Ct ( ug/kg)= Cg/ R</t>
  </si>
  <si>
    <t>Cl (ug/l) =  Cg/H</t>
  </si>
  <si>
    <t>3) Compare to soil saturation concentration</t>
  </si>
  <si>
    <t>soil saturation (mg/kg) =</t>
  </si>
  <si>
    <t xml:space="preserve">Saturation concentration  (mg/kg) = </t>
  </si>
  <si>
    <t>Well graded sands</t>
  </si>
  <si>
    <t>SW</t>
  </si>
  <si>
    <t>Poorly graded sands</t>
  </si>
  <si>
    <t>SP</t>
  </si>
  <si>
    <t>Well graded gravels</t>
  </si>
  <si>
    <t>GW</t>
  </si>
  <si>
    <t>Poorly graded gravels</t>
  </si>
  <si>
    <t>GP</t>
  </si>
  <si>
    <r>
      <t>(a</t>
    </r>
    <r>
      <rPr>
        <vertAlign val="superscript"/>
        <sz val="10"/>
        <rFont val="Arial"/>
        <family val="2"/>
      </rPr>
      <t>3.33</t>
    </r>
    <r>
      <rPr>
        <sz val="10"/>
        <rFont val="Arial"/>
        <family val="2"/>
      </rPr>
      <t>)(Dg</t>
    </r>
    <r>
      <rPr>
        <vertAlign val="superscript"/>
        <sz val="10"/>
        <rFont val="Arial"/>
        <family val="2"/>
      </rPr>
      <t>a</t>
    </r>
    <r>
      <rPr>
        <sz val="10"/>
        <rFont val="Arial"/>
        <family val="2"/>
      </rPr>
      <t>)(Kh)+(θ</t>
    </r>
    <r>
      <rPr>
        <vertAlign val="superscript"/>
        <sz val="10"/>
        <rFont val="Arial"/>
        <family val="2"/>
      </rPr>
      <t>3.33</t>
    </r>
    <r>
      <rPr>
        <sz val="10"/>
        <rFont val="Arial"/>
        <family val="2"/>
      </rPr>
      <t>)(D1</t>
    </r>
    <r>
      <rPr>
        <vertAlign val="superscript"/>
        <sz val="10"/>
        <rFont val="Arial"/>
        <family val="2"/>
      </rPr>
      <t>w</t>
    </r>
    <r>
      <rPr>
        <sz val="10"/>
        <rFont val="Arial"/>
        <family val="2"/>
      </rPr>
      <t>))/Φ2</t>
    </r>
  </si>
  <si>
    <t>This spreadsheet estimates  C/Co at depth given a specific time.</t>
  </si>
  <si>
    <r>
      <t>Note: Reference for K</t>
    </r>
    <r>
      <rPr>
        <vertAlign val="subscript"/>
        <sz val="8"/>
        <rFont val="Arial"/>
        <family val="2"/>
      </rPr>
      <t>oc</t>
    </r>
    <r>
      <rPr>
        <sz val="8"/>
        <rFont val="Arial"/>
        <family val="2"/>
      </rPr>
      <t xml:space="preserve"> and H</t>
    </r>
    <r>
      <rPr>
        <vertAlign val="subscript"/>
        <sz val="8"/>
        <rFont val="Arial"/>
        <family val="2"/>
      </rPr>
      <t>o</t>
    </r>
    <r>
      <rPr>
        <sz val="8"/>
        <rFont val="Arial"/>
        <family val="2"/>
      </rPr>
      <t xml:space="preserve"> values: U.S. EPA Soil Screening Guidance: User’s Guide, 2nd Edition  (July 1996)
* GPL calculated on 1,1DCE water quality standard because of subsurface biotransformation</t>
    </r>
  </si>
  <si>
    <t>=$M$10*$M$17*$M$11+$M$15+$M$19*$M$7</t>
  </si>
  <si>
    <t>=$M$5/$M$24</t>
  </si>
  <si>
    <t>=$M$24/$M$7</t>
  </si>
  <si>
    <t>=($M$5/$M$26)</t>
  </si>
  <si>
    <t>=$M25*$M17*$M11</t>
  </si>
  <si>
    <t>=$M$8/$M$10*($M$11*$M$17*$M$10+$M$15+$M$19*$M$7)</t>
  </si>
  <si>
    <t>Select entry from the drop-down menu</t>
  </si>
  <si>
    <t>Data Entry Legend</t>
  </si>
  <si>
    <t>Ct (total soil solids concentration mg/kg)</t>
  </si>
  <si>
    <t>Select chemical from drop down list, G14</t>
  </si>
  <si>
    <t>Select soil from drop down list, G21</t>
  </si>
  <si>
    <r>
      <t xml:space="preserve">Default GPL - Metals
</t>
    </r>
    <r>
      <rPr>
        <sz val="9"/>
        <color theme="1"/>
        <rFont val="Calibri"/>
        <family val="2"/>
        <scheme val="minor"/>
      </rPr>
      <t xml:space="preserve">milligrams per kilogram (mg/Kg) </t>
    </r>
  </si>
  <si>
    <t>Antimony</t>
  </si>
  <si>
    <t>Arsenic</t>
  </si>
  <si>
    <t>Barium</t>
  </si>
  <si>
    <t>Beryllium</t>
  </si>
  <si>
    <t>Cadmium</t>
  </si>
  <si>
    <t>Chromium, unspeciated</t>
  </si>
  <si>
    <t>Lead</t>
  </si>
  <si>
    <t>Mercury</t>
  </si>
  <si>
    <t>Nickel</t>
  </si>
  <si>
    <t>Selenium</t>
  </si>
  <si>
    <t>Thallium</t>
  </si>
  <si>
    <r>
      <t xml:space="preserve">For more information, refer to the ADEQ September 1996 Guidance: </t>
    </r>
    <r>
      <rPr>
        <i/>
        <sz val="11"/>
        <color theme="1"/>
        <rFont val="Calibri"/>
        <family val="2"/>
        <scheme val="minor"/>
      </rPr>
      <t>A Screening Method to Determine Soil Concentrations Protective of Groundwater Quality</t>
    </r>
    <r>
      <rPr>
        <sz val="10"/>
        <rFont val="Arial"/>
        <family val="2"/>
      </rPr>
      <t>(Table 4, page 35)</t>
    </r>
  </si>
  <si>
    <t>Alternative GPL Calculator - Metals</t>
  </si>
  <si>
    <r>
      <t>R = C</t>
    </r>
    <r>
      <rPr>
        <b/>
        <vertAlign val="subscript"/>
        <sz val="11"/>
        <color theme="1"/>
        <rFont val="Calibri"/>
        <family val="2"/>
        <scheme val="minor"/>
      </rPr>
      <t>soil</t>
    </r>
    <r>
      <rPr>
        <b/>
        <sz val="11"/>
        <color theme="1"/>
        <rFont val="Calibri"/>
        <family val="2"/>
        <scheme val="minor"/>
      </rPr>
      <t xml:space="preserve"> / C</t>
    </r>
    <r>
      <rPr>
        <b/>
        <vertAlign val="subscript"/>
        <sz val="11"/>
        <color theme="1"/>
        <rFont val="Calibri"/>
        <family val="2"/>
        <scheme val="minor"/>
      </rPr>
      <t>leachate</t>
    </r>
  </si>
  <si>
    <r>
      <t>C</t>
    </r>
    <r>
      <rPr>
        <b/>
        <vertAlign val="subscript"/>
        <sz val="11"/>
        <color theme="1"/>
        <rFont val="Calibri"/>
        <family val="2"/>
        <scheme val="minor"/>
      </rPr>
      <t>W</t>
    </r>
  </si>
  <si>
    <t>Alternative GPL = (292.9)*R*Cw</t>
  </si>
  <si>
    <t>Formula:</t>
  </si>
  <si>
    <r>
      <rPr>
        <b/>
        <sz val="11"/>
        <color theme="1"/>
        <rFont val="Calibri"/>
        <family val="2"/>
        <scheme val="minor"/>
      </rPr>
      <t>X</t>
    </r>
    <r>
      <rPr>
        <b/>
        <vertAlign val="subscript"/>
        <sz val="11"/>
        <color theme="1"/>
        <rFont val="Calibri"/>
        <family val="2"/>
        <scheme val="minor"/>
      </rPr>
      <t>s</t>
    </r>
    <r>
      <rPr>
        <b/>
        <sz val="11"/>
        <color theme="1"/>
        <rFont val="Calibri"/>
        <family val="2"/>
        <scheme val="minor"/>
      </rPr>
      <t xml:space="preserve"> = (292.9)*(C</t>
    </r>
    <r>
      <rPr>
        <b/>
        <vertAlign val="subscript"/>
        <sz val="11"/>
        <color theme="1"/>
        <rFont val="Calibri"/>
        <family val="2"/>
        <scheme val="minor"/>
      </rPr>
      <t xml:space="preserve">soil </t>
    </r>
    <r>
      <rPr>
        <b/>
        <sz val="11"/>
        <color theme="1"/>
        <rFont val="Calibri"/>
        <family val="2"/>
        <scheme val="minor"/>
      </rPr>
      <t>/ C</t>
    </r>
    <r>
      <rPr>
        <b/>
        <vertAlign val="subscript"/>
        <sz val="11"/>
        <color theme="1"/>
        <rFont val="Calibri"/>
        <family val="2"/>
        <scheme val="minor"/>
      </rPr>
      <t>leachate</t>
    </r>
    <r>
      <rPr>
        <b/>
        <sz val="11"/>
        <color theme="1"/>
        <rFont val="Calibri"/>
        <family val="2"/>
        <scheme val="minor"/>
      </rPr>
      <t>)*C</t>
    </r>
    <r>
      <rPr>
        <b/>
        <vertAlign val="subscript"/>
        <sz val="11"/>
        <color theme="1"/>
        <rFont val="Calibri"/>
        <family val="2"/>
        <scheme val="minor"/>
      </rPr>
      <t>w</t>
    </r>
  </si>
  <si>
    <r>
      <t>X</t>
    </r>
    <r>
      <rPr>
        <b/>
        <vertAlign val="subscript"/>
        <sz val="11"/>
        <color theme="1"/>
        <rFont val="Calibri"/>
        <family val="2"/>
        <scheme val="minor"/>
      </rPr>
      <t>s</t>
    </r>
  </si>
  <si>
    <t>= The Alternative GPL; The maximum allowable total metals concentration in soil which achieves protection of groundwater quality.</t>
  </si>
  <si>
    <r>
      <t>C</t>
    </r>
    <r>
      <rPr>
        <b/>
        <vertAlign val="subscript"/>
        <sz val="11"/>
        <color theme="1"/>
        <rFont val="Calibri"/>
        <family val="2"/>
        <scheme val="minor"/>
      </rPr>
      <t>soil</t>
    </r>
  </si>
  <si>
    <r>
      <t>C</t>
    </r>
    <r>
      <rPr>
        <b/>
        <vertAlign val="subscript"/>
        <sz val="11"/>
        <color theme="1"/>
        <rFont val="Calibri"/>
        <family val="2"/>
        <scheme val="minor"/>
      </rPr>
      <t>leachate</t>
    </r>
  </si>
  <si>
    <t>R</t>
  </si>
  <si>
    <r>
      <t>C</t>
    </r>
    <r>
      <rPr>
        <b/>
        <vertAlign val="subscript"/>
        <sz val="11"/>
        <color theme="1"/>
        <rFont val="Calibri"/>
        <family val="2"/>
        <scheme val="minor"/>
      </rPr>
      <t>w</t>
    </r>
  </si>
  <si>
    <t>= The maximum groundwater concentration in the mixing cell across the perforated interval of the monitor well and is equivalent to the AWQS.</t>
  </si>
  <si>
    <t>= This constant results from calculations involving the mixing cell dimensions, groundwater flow rate, and infiltration rate for the base case conditions.</t>
  </si>
  <si>
    <t xml:space="preserve">Notes: </t>
  </si>
  <si>
    <t>All soil data in milligrams per kilogram (mg/Kg) and aqueous data in milligrams per liter (mg/L)</t>
  </si>
  <si>
    <r>
      <t>All C</t>
    </r>
    <r>
      <rPr>
        <vertAlign val="subscript"/>
        <sz val="11"/>
        <color theme="1"/>
        <rFont val="Calibri"/>
        <family val="2"/>
        <scheme val="minor"/>
      </rPr>
      <t>w</t>
    </r>
    <r>
      <rPr>
        <sz val="10"/>
        <rFont val="Arial"/>
        <family val="2"/>
      </rPr>
      <t xml:space="preserve"> inputs are the AWQS except for Copper: MCL for Copper = 1.3 mg/L</t>
    </r>
  </si>
  <si>
    <t>SPLP:  Synthetic Precipitation Leaching Procedure</t>
  </si>
  <si>
    <t xml:space="preserve">TCLP:  Toxicity Characteristic Leaching Procedure </t>
  </si>
  <si>
    <t>The last two boxes are available to enter information about any metal for which an Alt-GPL value is sought.</t>
  </si>
  <si>
    <t>It is best practice to co-locate or split sample for the total metals and SPLP/TCLP metals sample.</t>
  </si>
  <si>
    <t>Kh</t>
  </si>
  <si>
    <t>T1/2 V</t>
  </si>
  <si>
    <t>T1/2 GW</t>
  </si>
  <si>
    <t>Ct (Co)</t>
  </si>
  <si>
    <t>Soil</t>
  </si>
  <si>
    <t>Φ</t>
  </si>
  <si>
    <t>θ</t>
  </si>
  <si>
    <t>foc V</t>
  </si>
  <si>
    <t>foc A</t>
  </si>
  <si>
    <t>Dga</t>
  </si>
  <si>
    <t>D1w</t>
  </si>
  <si>
    <t>Jw</t>
  </si>
  <si>
    <t>time step</t>
  </si>
  <si>
    <t>d time</t>
  </si>
  <si>
    <t>Vd</t>
  </si>
  <si>
    <t>cm</t>
  </si>
  <si>
    <t>m</t>
  </si>
  <si>
    <t>feet</t>
  </si>
  <si>
    <t>Input Summary</t>
  </si>
  <si>
    <t>Input units</t>
  </si>
  <si>
    <t>English units</t>
  </si>
  <si>
    <t>Last mixing cell</t>
  </si>
  <si>
    <t>if &gt; s, then s</t>
  </si>
  <si>
    <t>cm/d</t>
  </si>
  <si>
    <t>ratio</t>
  </si>
  <si>
    <t>L/kg</t>
  </si>
  <si>
    <t>mg/L</t>
  </si>
  <si>
    <t>ug/L</t>
  </si>
  <si>
    <t>ug/kg</t>
  </si>
  <si>
    <t>Parameter</t>
  </si>
  <si>
    <t>units</t>
  </si>
  <si>
    <t>WQS</t>
  </si>
  <si>
    <t>auto</t>
  </si>
  <si>
    <t>Min GPL Default</t>
  </si>
  <si>
    <t>unit days</t>
  </si>
  <si>
    <r>
      <rPr>
        <sz val="10"/>
        <rFont val="Calibri"/>
        <family val="2"/>
      </rPr>
      <t>Δ</t>
    </r>
    <r>
      <rPr>
        <sz val="9"/>
        <rFont val="Arial"/>
        <family val="2"/>
      </rPr>
      <t>t</t>
    </r>
  </si>
  <si>
    <t>First mixing cell</t>
  </si>
  <si>
    <t>Chemical:</t>
  </si>
  <si>
    <t>-</t>
  </si>
  <si>
    <t>depth (centimeters)</t>
  </si>
  <si>
    <t>cell</t>
  </si>
  <si>
    <t>Model Calculation Values</t>
  </si>
  <si>
    <t>day</t>
  </si>
  <si>
    <t>Help Cells - Cells that may be selected to provide a pop-up window with info to help in data entry</t>
  </si>
  <si>
    <t>g/cm3</t>
  </si>
  <si>
    <t>cm2/d</t>
  </si>
  <si>
    <t>Enter User Data</t>
  </si>
  <si>
    <r>
      <t>= The ratio between the total metals content in a soil (</t>
    </r>
    <r>
      <rPr>
        <b/>
        <sz val="11"/>
        <color theme="1"/>
        <rFont val="Calibri"/>
        <family val="2"/>
        <scheme val="minor"/>
      </rPr>
      <t>C</t>
    </r>
    <r>
      <rPr>
        <b/>
        <vertAlign val="subscript"/>
        <sz val="11"/>
        <color theme="1"/>
        <rFont val="Calibri"/>
        <family val="2"/>
        <scheme val="minor"/>
      </rPr>
      <t>soil</t>
    </r>
    <r>
      <rPr>
        <sz val="11"/>
        <color theme="1"/>
        <rFont val="Calibri"/>
        <family val="2"/>
        <scheme val="minor"/>
      </rPr>
      <t>) and the TCLP or SPLP leachate result (</t>
    </r>
    <r>
      <rPr>
        <b/>
        <sz val="11"/>
        <color theme="1"/>
        <rFont val="Calibri"/>
        <family val="2"/>
        <scheme val="minor"/>
      </rPr>
      <t>C</t>
    </r>
    <r>
      <rPr>
        <b/>
        <vertAlign val="subscript"/>
        <sz val="11"/>
        <color theme="1"/>
        <rFont val="Calibri"/>
        <family val="2"/>
        <scheme val="minor"/>
      </rPr>
      <t>leachate</t>
    </r>
    <r>
      <rPr>
        <sz val="11"/>
        <color theme="1"/>
        <rFont val="Calibri"/>
        <family val="2"/>
        <scheme val="minor"/>
      </rPr>
      <t>). Default  GPLs for metals assumes the worst-case leachable fraction from a TCLP or SPLP of 20:1. The ratio may be greater and calculating a site specific "R" value based on the ratio between the total metals content in  soil and the TCLP or SPLP leachate result allows for the calculation of an alternative GPL for metals.</t>
    </r>
  </si>
  <si>
    <r>
      <t xml:space="preserve">For more information, refer to the ADEQ September 1996 Guidance: </t>
    </r>
    <r>
      <rPr>
        <i/>
        <sz val="11"/>
        <color theme="1"/>
        <rFont val="Calibri"/>
        <family val="2"/>
        <scheme val="minor"/>
      </rPr>
      <t>A Screening Method to Determine Soil Concentrations Protective of Groundwater Quality</t>
    </r>
    <r>
      <rPr>
        <sz val="10"/>
        <rFont val="Arial"/>
        <family val="2"/>
      </rPr>
      <t>(Section IV, pages 33-35 and Appendix C).</t>
    </r>
  </si>
  <si>
    <t>SPLP or TCLP (mg/L)</t>
  </si>
  <si>
    <t>Selenium (mg/Kg)</t>
  </si>
  <si>
    <t>Nickel (mg/Kg)</t>
  </si>
  <si>
    <t>Mercury (mg/Kg)</t>
  </si>
  <si>
    <t>Lead (mg/Kg)</t>
  </si>
  <si>
    <t>Antimony (mg/Kg)</t>
  </si>
  <si>
    <t>Arsenic (mg/Kg)</t>
  </si>
  <si>
    <t>Barium (mg/Kg)</t>
  </si>
  <si>
    <t>Beryllium (mg/Kg)</t>
  </si>
  <si>
    <t>Cadmium (mg/Kg)</t>
  </si>
  <si>
    <t>Chromium (mg/Kg)</t>
  </si>
  <si>
    <t>Copper (mg/Kg)</t>
  </si>
  <si>
    <t>Thallium (mg/Kg)</t>
  </si>
  <si>
    <t>= Total metals concentration in a soil (mg/Kg).</t>
  </si>
  <si>
    <t>= The TCLP or SPLP metal concentration (mg/L).</t>
  </si>
  <si>
    <r>
      <t xml:space="preserve">Modeled  Value : </t>
    </r>
    <r>
      <rPr>
        <b/>
        <sz val="9"/>
        <color theme="1"/>
        <rFont val="Arial"/>
        <family val="2"/>
      </rPr>
      <t>C</t>
    </r>
    <r>
      <rPr>
        <sz val="9"/>
        <color theme="1"/>
        <rFont val="Arial"/>
        <family val="2"/>
      </rPr>
      <t>ustom /</t>
    </r>
    <r>
      <rPr>
        <b/>
        <sz val="9"/>
        <color theme="1"/>
        <rFont val="Arial"/>
        <family val="2"/>
      </rPr>
      <t>D</t>
    </r>
    <r>
      <rPr>
        <sz val="9"/>
        <color theme="1"/>
        <rFont val="Arial"/>
        <family val="2"/>
      </rPr>
      <t>efault</t>
    </r>
  </si>
  <si>
    <t>A manually entered value will be used only if you selected "enter chemical properties" or "new soil type", otherwise this value will reflect the chemical or soil type you selected from the drop down menus cells K6 and K15)</t>
  </si>
  <si>
    <t>S = Solubility in water</t>
  </si>
  <si>
    <t>1,000/100,000</t>
  </si>
  <si>
    <t>Sc = Distance from edge of release to compliance point (m)</t>
  </si>
  <si>
    <t>s = Screen interval (m)</t>
  </si>
  <si>
    <t>WQS = Water quality standard (ug/l)</t>
  </si>
  <si>
    <t>T1/2 GW = Saturated zone 1/2 life (d)</t>
  </si>
  <si>
    <t>Si</t>
  </si>
  <si>
    <t>Ai</t>
  </si>
  <si>
    <t>θ = water content (vol/vol)</t>
  </si>
  <si>
    <t>Φ = total porosity (vol/vol)</t>
  </si>
  <si>
    <t>These cells may use manual entry, but your entry may be overwritten depending on what boxes you select after pressing the "Run GPL" button. Specific details are included in the help cells.</t>
  </si>
  <si>
    <t>koc = Soil distribution coefficient (L/kg)</t>
  </si>
  <si>
    <t>foc A = Organic carbon in aquifer (mass/mass)</t>
  </si>
  <si>
    <r>
      <t>Pb = Dry bulk density (g/cm</t>
    </r>
    <r>
      <rPr>
        <vertAlign val="superscript"/>
        <sz val="10"/>
        <rFont val="Arial"/>
        <family val="2"/>
      </rPr>
      <t>3</t>
    </r>
    <r>
      <rPr>
        <sz val="10"/>
        <rFont val="Arial"/>
        <family val="2"/>
      </rPr>
      <t>)</t>
    </r>
  </si>
  <si>
    <t>R = Retardation factor</t>
  </si>
  <si>
    <t>Kh = Henry's Constant (dimensionless)</t>
  </si>
  <si>
    <t>S = water solubility (mg/l)</t>
  </si>
  <si>
    <t>Koc = soil distribution coefficient (L/Kg)</t>
  </si>
  <si>
    <t>WQS = Water Quality Standard (ug/l)- see help cells in Columns G &amp; H</t>
  </si>
  <si>
    <t>T1/2 V = vadose zone half life (d)</t>
  </si>
  <si>
    <t>T1/2 GW = groundwater  half life (d)</t>
  </si>
  <si>
    <t>Ct = initial total soil contaminant concentration (ug/kg, [ug/kg = (ug/l)/Pb])</t>
  </si>
  <si>
    <t>Φ = total porosity</t>
  </si>
  <si>
    <r>
      <t>Pb = dry bulk density (g/cm</t>
    </r>
    <r>
      <rPr>
        <vertAlign val="superscript"/>
        <sz val="10"/>
        <rFont val="Arial"/>
        <family val="2"/>
      </rPr>
      <t>3</t>
    </r>
    <r>
      <rPr>
        <sz val="10"/>
        <rFont val="Arial"/>
        <family val="2"/>
      </rPr>
      <t>)</t>
    </r>
  </si>
  <si>
    <t>θ = moisture content (vol/vol)</t>
  </si>
  <si>
    <t>D1w = liquid diffusion coefficient (cm2/d)</t>
  </si>
  <si>
    <t>Dga = gaseous diffusion coefficient (cm2/d)</t>
  </si>
  <si>
    <t>d = diffusion layer thickness (cm)</t>
  </si>
  <si>
    <t>foc A = fraction of organic carbon in aquifer</t>
  </si>
  <si>
    <t>Sc = distance from edge of release to compliance point (meters)</t>
  </si>
  <si>
    <t>w = release width (meters)</t>
  </si>
  <si>
    <t>s = well screen interval (meters)</t>
  </si>
  <si>
    <t>Ai = infiltration rate inside source area, water flux (cm/d)</t>
  </si>
  <si>
    <t>Si = infiltration rate outside source area (cm/d)</t>
  </si>
  <si>
    <t>time step =  vary until output graphs shows complete curve, Jury 1 solution (days)</t>
  </si>
  <si>
    <t>d time = depth profile time, Jury 2 solution (d)</t>
  </si>
  <si>
    <t>Vd = total vadose zone depth, Jury 2 solution (cm)</t>
  </si>
  <si>
    <t xml:space="preserve">v = groundwater velocity [v=Ki/n], actual velocity not Darcy velocity (cm/d) </t>
  </si>
  <si>
    <t>v</t>
  </si>
  <si>
    <t>v = Groundwater velocity [v=Ki/n] (cm/d)</t>
  </si>
  <si>
    <t>t =( Sc + Sl)/ v</t>
  </si>
  <si>
    <t>t = (Sc + Sl)/ v</t>
  </si>
  <si>
    <t>1+ (Pb)(Koc)(foc A)/ Φ</t>
  </si>
  <si>
    <t>t = R*Sc/ v</t>
  </si>
  <si>
    <t>days</t>
  </si>
  <si>
    <t>(length/length)</t>
  </si>
  <si>
    <t>mg/kg</t>
  </si>
  <si>
    <t>R (unitless) =  Hd*Pb/((foc)(Koc)(Pb)+Ow +Hd (Ot-Ow))</t>
  </si>
  <si>
    <t>unitless</t>
  </si>
  <si>
    <t>Ow = water filled  porosity, (vol water/volume of soil)</t>
  </si>
  <si>
    <t>(each 1 meter wide)</t>
  </si>
  <si>
    <t>Saturation conc. (mg/kg) =</t>
  </si>
  <si>
    <t>Mixing Cell Diagram -- conventional units (autofills)</t>
  </si>
  <si>
    <r>
      <t>d</t>
    </r>
    <r>
      <rPr>
        <vertAlign val="subscript"/>
        <sz val="10"/>
        <rFont val="Arial"/>
        <family val="2"/>
      </rPr>
      <t>1</t>
    </r>
  </si>
  <si>
    <r>
      <t>d</t>
    </r>
    <r>
      <rPr>
        <vertAlign val="subscript"/>
        <sz val="10"/>
        <rFont val="Arial"/>
        <family val="2"/>
      </rPr>
      <t>n</t>
    </r>
  </si>
  <si>
    <r>
      <t xml:space="preserve">Mixing Cell Thickness:  Jw x Δt/Φ  </t>
    </r>
    <r>
      <rPr>
        <b/>
        <sz val="8"/>
        <rFont val="Arial"/>
        <family val="2"/>
      </rPr>
      <t>(see GPL Guidance</t>
    </r>
    <r>
      <rPr>
        <b/>
        <sz val="9"/>
        <rFont val="Arial"/>
        <family val="2"/>
      </rPr>
      <t>)</t>
    </r>
  </si>
  <si>
    <t>or vadose zone depth</t>
  </si>
  <si>
    <t xml:space="preserve">Z = groundwater </t>
  </si>
  <si>
    <t>Input Field</t>
  </si>
  <si>
    <t>Variable</t>
  </si>
  <si>
    <r>
      <t>Minimum GPL for VOCs</t>
    </r>
    <r>
      <rPr>
        <sz val="11"/>
        <rFont val="Calibri"/>
        <family val="2"/>
      </rPr>
      <t>:  This table shows the minimum GPLs using the revised 2007 chemical properties.</t>
    </r>
  </si>
  <si>
    <t>foc V = fraction of organic carbon in vadose zone</t>
  </si>
  <si>
    <t>L = depth of incorporation (cm)</t>
  </si>
  <si>
    <t>Z = depth to water or depth of interest, (cm)</t>
  </si>
  <si>
    <t>*The Mixing Cell Diagram at the right of the Input Field visually depicts measurements.</t>
  </si>
  <si>
    <t>Model Input Descriptions</t>
  </si>
  <si>
    <r>
      <t>Alt-GPL Calc for Metals</t>
    </r>
    <r>
      <rPr>
        <sz val="11"/>
        <rFont val="Calibri"/>
        <family val="2"/>
      </rPr>
      <t>:  The input and output worksheet to calculate alternative GPLs for metals. The concentration of a metal found in soil is entered into the cell below the respective metal’s name. An associated SPLP or TCLP concentration is entered into the cell immediately to the right of the cell where the user entered a metal concentration.</t>
    </r>
  </si>
  <si>
    <t>IV.  Updates</t>
  </si>
  <si>
    <t>A note on Model Calculation Values (column I) and Enter User Data (column K):</t>
  </si>
  <si>
    <t>In addition, users should be aware that values entered into the Enter User Data Field may be overwritten depending on selections made in the dialog box that appears after pressing the “Run GPL” button, found below the model input descriptions.</t>
  </si>
  <si>
    <r>
      <t>2</t>
    </r>
    <r>
      <rPr>
        <sz val="11"/>
        <rFont val="Calibri"/>
        <family val="2"/>
      </rPr>
      <t xml:space="preserve">) Select a chemical from the drop down list in cell K6. Values for Kh, S, Koc and WQS of the selected chemical will automatically be drawn from the </t>
    </r>
    <r>
      <rPr>
        <b/>
        <sz val="11"/>
        <rFont val="Calibri"/>
        <family val="2"/>
      </rPr>
      <t>Lookup Table</t>
    </r>
    <r>
      <rPr>
        <sz val="11"/>
        <rFont val="Calibri"/>
        <family val="2"/>
      </rPr>
      <t xml:space="preserve"> worksheet and placed in the appropriate cells in the Model Calculation Values field (column I).</t>
    </r>
  </si>
  <si>
    <t>To calculate a GPL for a chemical not available on the drop down list or to force the Model Calculation Values to mirror the Enter User Data values, select "Enter chemical properties" from the list. Values for Kh, S, Koc and WQS must be entered into cells K7-10, respectively, if “Enter chemical properties” is selected.</t>
  </si>
  <si>
    <t>Other soil properties may be appropriate based upon site-specific information. To calculate a GPL for a soil type not available on the drop down list or to force the Model Calculation Values to mirror the Enter User Data values, select "New Soil Type" from the list. Values for Φ, Pb, and θ must be entered into cells K16-18, respectively, if “New Soil Type” is selected.</t>
  </si>
  <si>
    <t>Kh = Henry's Constant  =</t>
  </si>
  <si>
    <r>
      <t>Xylenes (total)</t>
    </r>
    <r>
      <rPr>
        <vertAlign val="superscript"/>
        <sz val="8"/>
        <rFont val="Arial"/>
        <family val="2"/>
      </rPr>
      <t>1</t>
    </r>
  </si>
  <si>
    <r>
      <rPr>
        <sz val="8"/>
        <rFont val="Arial"/>
        <family val="2"/>
      </rPr>
      <t>Xylenes (total)</t>
    </r>
    <r>
      <rPr>
        <vertAlign val="superscript"/>
        <sz val="8"/>
        <rFont val="Arial"/>
        <family val="2"/>
      </rPr>
      <t>1</t>
    </r>
    <r>
      <rPr>
        <sz val="8"/>
        <rFont val="Arial"/>
        <family val="2"/>
      </rPr>
      <t xml:space="preserve"> - K</t>
    </r>
    <r>
      <rPr>
        <vertAlign val="subscript"/>
        <sz val="8"/>
        <rFont val="Arial"/>
        <family val="2"/>
      </rPr>
      <t>oc</t>
    </r>
    <r>
      <rPr>
        <sz val="8"/>
        <rFont val="Arial"/>
        <family val="2"/>
      </rPr>
      <t xml:space="preserve"> and F</t>
    </r>
    <r>
      <rPr>
        <vertAlign val="subscript"/>
        <sz val="8"/>
        <rFont val="Arial"/>
        <family val="2"/>
      </rPr>
      <t>oc</t>
    </r>
    <r>
      <rPr>
        <sz val="8"/>
        <rFont val="Arial"/>
        <family val="2"/>
      </rPr>
      <t xml:space="preserve"> values for total xylenes represent average of values for </t>
    </r>
    <r>
      <rPr>
        <i/>
        <sz val="8"/>
        <rFont val="Arial"/>
        <family val="2"/>
      </rPr>
      <t>ortho</t>
    </r>
    <r>
      <rPr>
        <sz val="8"/>
        <rFont val="Arial"/>
        <family val="2"/>
      </rPr>
      <t>-,</t>
    </r>
    <r>
      <rPr>
        <i/>
        <sz val="8"/>
        <rFont val="Arial"/>
        <family val="2"/>
      </rPr>
      <t xml:space="preserve"> meta</t>
    </r>
    <r>
      <rPr>
        <sz val="8"/>
        <rFont val="Arial"/>
        <family val="2"/>
      </rPr>
      <t xml:space="preserve">, and </t>
    </r>
    <r>
      <rPr>
        <i/>
        <sz val="8"/>
        <rFont val="Arial"/>
        <family val="2"/>
      </rPr>
      <t>para</t>
    </r>
    <r>
      <rPr>
        <sz val="8"/>
        <rFont val="Arial"/>
        <family val="2"/>
      </rPr>
      <t>-xylenes.</t>
    </r>
  </si>
  <si>
    <r>
      <rPr>
        <sz val="8"/>
        <rFont val="Arial"/>
        <family val="2"/>
      </rPr>
      <t>K</t>
    </r>
    <r>
      <rPr>
        <vertAlign val="subscript"/>
        <sz val="8"/>
        <rFont val="Arial"/>
        <family val="2"/>
      </rPr>
      <t>oc</t>
    </r>
    <r>
      <rPr>
        <sz val="8"/>
        <rFont val="Arial"/>
        <family val="2"/>
      </rPr>
      <t xml:space="preserve"> = organic carbon partition coefficient</t>
    </r>
  </si>
  <si>
    <r>
      <rPr>
        <sz val="8"/>
        <rFont val="Arial"/>
        <family val="2"/>
      </rPr>
      <t>Kh = Dimensionless Henry's Law Constant [HLC(atm-m)*41(25</t>
    </r>
    <r>
      <rPr>
        <vertAlign val="superscript"/>
        <sz val="8"/>
        <rFont val="Arial"/>
        <family val="2"/>
      </rPr>
      <t>o</t>
    </r>
    <r>
      <rPr>
        <sz val="8"/>
        <rFont val="Arial"/>
        <family val="2"/>
      </rPr>
      <t>C)]</t>
    </r>
  </si>
  <si>
    <t xml:space="preserve">Koc = soil distribution coefficient (ml/g) = </t>
  </si>
  <si>
    <t>foc = fraction of organic carbon =</t>
  </si>
  <si>
    <t>S = solubility in water (mg/l) =</t>
  </si>
  <si>
    <r>
      <t xml:space="preserve">The following presents brief instructions for understanding and operating the various worksheets. The primary goal is to accurately reproduce the GPL model in a spreadsheet form. However, an additional tool is included to calculate soil equilibrium concentrations. The document </t>
    </r>
    <r>
      <rPr>
        <i/>
        <sz val="11"/>
        <rFont val="Calibri"/>
        <family val="2"/>
      </rPr>
      <t>A Screening Method to Determine Soil Concentrations Protective of Groundwater Quality</t>
    </r>
    <r>
      <rPr>
        <sz val="11"/>
        <rFont val="Calibri"/>
        <family val="2"/>
      </rPr>
      <t>, September 1996 should be consulted for additional information.</t>
    </r>
  </si>
  <si>
    <r>
      <t>Default GPL Metals</t>
    </r>
    <r>
      <rPr>
        <sz val="11"/>
        <rFont val="Calibri"/>
        <family val="2"/>
      </rPr>
      <t xml:space="preserve">:  This table shows default metals GPLs per ADEQ’s </t>
    </r>
    <r>
      <rPr>
        <i/>
        <sz val="11"/>
        <rFont val="Calibri"/>
        <family val="2"/>
      </rPr>
      <t>Guidance: A Screening Method to Determine Soil Concentrations Protective of Groundwater Quality</t>
    </r>
    <r>
      <rPr>
        <sz val="11"/>
        <rFont val="Calibri"/>
        <family val="2"/>
      </rPr>
      <t>, September 1996 (Table 4, page 35).</t>
    </r>
    <r>
      <rPr>
        <b/>
        <sz val="11"/>
        <rFont val="Calibri"/>
        <family val="2"/>
      </rPr>
      <t xml:space="preserve"> </t>
    </r>
  </si>
  <si>
    <r>
      <t>Soil Phase Partitioning Calc</t>
    </r>
    <r>
      <rPr>
        <sz val="11"/>
        <rFont val="Calibri"/>
        <family val="2"/>
      </rPr>
      <t xml:space="preserve">:  The input and output worksheet to calculate equilibrium soil gas, liquid, and total soil contaminant concentrations. Drop down boxes are provided to enter chemical (cell G14) and soil (cell G21) type. The selection made from these drop down boxes affects certain chemical and soil parameters (cells H17-19, H23-25). Selecting a listed chemical and/or soil will cause equilibrium concentrations to be calculated using the parameters included on the </t>
    </r>
    <r>
      <rPr>
        <b/>
        <sz val="11"/>
        <rFont val="Calibri"/>
        <family val="2"/>
      </rPr>
      <t>Lookup Tabl</t>
    </r>
    <r>
      <rPr>
        <sz val="11"/>
        <rFont val="Calibri"/>
        <family val="2"/>
      </rPr>
      <t xml:space="preserve">e worksheet. Selecting "Enter Chemical Properties" and/or "New Soil Type" will cause equilibrium concentrations to be calculated using data entered by the user on the </t>
    </r>
    <r>
      <rPr>
        <b/>
        <sz val="11"/>
        <rFont val="Calibri"/>
        <family val="2"/>
      </rPr>
      <t>Soil Phase Partitioning Calc</t>
    </r>
    <r>
      <rPr>
        <sz val="11"/>
        <rFont val="Calibri"/>
        <family val="2"/>
      </rPr>
      <t xml:space="preserve"> worksheet. Upon selecting the button “Calculate Soil Phase Concentrations”, a dialog box will appear. The dialog box requires the user to input a chemical concentration and select the phase which the concentration represents. Additionally the dialog box offers the option of using the GPL default value for the fraction of organic carbon (foc, cell H16) in the soil from which the concentration was determined.</t>
    </r>
  </si>
  <si>
    <r>
      <t>Lookup Table</t>
    </r>
    <r>
      <rPr>
        <sz val="11"/>
        <rFont val="Calibri"/>
        <family val="2"/>
      </rPr>
      <t xml:space="preserve">:  Details the chemical and soil data used when a chemical or soil type is selected from a drop down box on the </t>
    </r>
    <r>
      <rPr>
        <b/>
        <sz val="11"/>
        <rFont val="Calibri"/>
        <family val="2"/>
      </rPr>
      <t>Soil Phase Partitioning Calc</t>
    </r>
    <r>
      <rPr>
        <sz val="11"/>
        <rFont val="Calibri"/>
        <family val="2"/>
      </rPr>
      <t xml:space="preserve"> or </t>
    </r>
    <r>
      <rPr>
        <b/>
        <sz val="11"/>
        <rFont val="Calibri"/>
        <family val="2"/>
      </rPr>
      <t>Alt-GPL Calc for VOCs</t>
    </r>
    <r>
      <rPr>
        <sz val="11"/>
        <rFont val="Calibri"/>
        <family val="2"/>
      </rPr>
      <t xml:space="preserve"> worksheets.</t>
    </r>
  </si>
  <si>
    <r>
      <t xml:space="preserve">When using the </t>
    </r>
    <r>
      <rPr>
        <b/>
        <sz val="11"/>
        <rFont val="Calibri"/>
        <family val="2"/>
      </rPr>
      <t>Alt-GPL Calc for VOCs</t>
    </r>
    <r>
      <rPr>
        <sz val="11"/>
        <rFont val="Calibri"/>
        <family val="2"/>
      </rPr>
      <t xml:space="preserve"> worksheet, data must be entered into the field titled Enter User Data (column K), but the worksheet will actually use the values in the field titled Model Calculation Values (column I) to complete the GPL calculation. The values in the Model Calculation Values field will generally reflect those in the Enter User Data field. The exception to this occurs in rows 7-10 and 16-18. The Model Calculation Values in these rows will be dependent on the selections made from the drop down lists in cells K6 and K15. The values for Model Calculation Values and Enter User Data in the aforementioned rows may not match, but the calculation will still be performed.</t>
    </r>
  </si>
  <si>
    <r>
      <t>1</t>
    </r>
    <r>
      <rPr>
        <sz val="11"/>
        <rFont val="Calibri"/>
        <family val="2"/>
      </rPr>
      <t xml:space="preserve">) Select </t>
    </r>
    <r>
      <rPr>
        <b/>
        <sz val="11"/>
        <rFont val="Calibri"/>
        <family val="2"/>
      </rPr>
      <t>Alt-GPL Calc for VOCs</t>
    </r>
    <r>
      <rPr>
        <sz val="11"/>
        <rFont val="Calibri"/>
        <family val="2"/>
      </rPr>
      <t xml:space="preserve"> worksheet. It may be necessary to load the Analysis Tool Pack to use the worksheets in the GPL Model Excel file. This may be done by clicking File -&gt; Options -&gt; Add-Ins -&gt; Analysis Toolpack -&gt; Go...</t>
    </r>
  </si>
  <si>
    <r>
      <t>3</t>
    </r>
    <r>
      <rPr>
        <sz val="11"/>
        <rFont val="Calibri"/>
        <family val="2"/>
      </rPr>
      <t>) Enter an appropriate value for T1/2 V and T1/2 GW (biodegradation half-life in vadose zone and groundwater, respectively) in cells K11 and 12, respectively. The biodegradation half-life may be different in the vadose zone and groundwater but typically, they are the same. For petroleum hydrocarbons, the assumed half-life is 1,000 days. Chlorinated compounds are assumed to be relatively non-biodegradable and a half-life of 100,000 days is assumed.</t>
    </r>
  </si>
  <si>
    <r>
      <t xml:space="preserve">Regardless of values entered into the Enter User Data field, options to use either assumed value will be presented as check box 2 and 3 in the dialog box that appears after pressing the “Run GPL” button. Selecting either check box will overwrite data in cells K11 and 12. Not selecting either check box will maintain the user-entered data in cells K11 and 12. See the publication </t>
    </r>
    <r>
      <rPr>
        <i/>
        <sz val="11"/>
        <rFont val="Calibri"/>
        <family val="2"/>
      </rPr>
      <t>A Screening Method to Determine Soil Concentrations Protective of Groundwater Quality Leaching Guidance</t>
    </r>
    <r>
      <rPr>
        <sz val="11"/>
        <rFont val="Calibri"/>
        <family val="2"/>
      </rPr>
      <t>, September 1996 for a discussion of biodegradation rates.</t>
    </r>
  </si>
  <si>
    <r>
      <t>4</t>
    </r>
    <r>
      <rPr>
        <sz val="11"/>
        <rFont val="Calibri"/>
        <family val="2"/>
      </rPr>
      <t xml:space="preserve">) Select a soil type from the drop down list in cell K15. Values for Φ, Pb, and θ of the selected soil type will automatically be drawn from the </t>
    </r>
    <r>
      <rPr>
        <b/>
        <sz val="11"/>
        <rFont val="Calibri"/>
        <family val="2"/>
      </rPr>
      <t>Lookup Table</t>
    </r>
    <r>
      <rPr>
        <sz val="11"/>
        <rFont val="Calibri"/>
        <family val="2"/>
      </rPr>
      <t xml:space="preserve"> worksheet and placed in the appropriate cells in the Model Calculation Values field (column I).</t>
    </r>
  </si>
  <si>
    <t>Values for Φ, Pb, and θ used to calculate default GPLs can be automatically entered into the Model Calculation Values field by selecting "GPL Defaults" from the drop down list.</t>
  </si>
  <si>
    <r>
      <t>5</t>
    </r>
    <r>
      <rPr>
        <sz val="11"/>
        <rFont val="Calibri"/>
        <family val="2"/>
      </rPr>
      <t>) Enter the remaining model inputs (K19-31). Column H lists the default GPL values for variables considered by the GPL calculation. GPL default values can be quickly and automatically entered by selecting check box 1 in the dialog box that appears after pressing the “Run GPL” button. Check box 1 automatically makes the depth to groundwater, Z (cell K26), equal to the depth of incorporation, L (cell K25), resulting in a minimum GPL.</t>
    </r>
  </si>
  <si>
    <r>
      <t xml:space="preserve">Other GPL values can be calculated by entering data into the Enter User Data field and not selecting check box 1 in the dialog box that appears after pressing the “Run GPL” button. See the publication </t>
    </r>
    <r>
      <rPr>
        <i/>
        <sz val="11"/>
        <rFont val="Calibri"/>
        <family val="2"/>
      </rPr>
      <t>A Screening Method to Determine Soil Concentrations Protective of Groundwater Quality Leaching Guidance</t>
    </r>
    <r>
      <rPr>
        <sz val="11"/>
        <rFont val="Calibri"/>
        <family val="2"/>
      </rPr>
      <t>, September 1996 for a discussion of default values.</t>
    </r>
  </si>
  <si>
    <r>
      <t>6</t>
    </r>
    <r>
      <rPr>
        <sz val="11"/>
        <rFont val="Calibri"/>
        <family val="2"/>
      </rPr>
      <t>) Click the “Run GPL” Button. Upon clicking the button, a dialog box will appear. The dialog box contains three options that may be selected, check boxes 1, 2, and 3. Check boxes 2 and 3 may not be selected simultaneously and a message to this effect will appear if it is attempted.</t>
    </r>
  </si>
  <si>
    <r>
      <t>Check box 1</t>
    </r>
    <r>
      <rPr>
        <sz val="11"/>
        <rFont val="Calibri"/>
        <family val="2"/>
      </rPr>
      <t>:  Overwrites Enter User Data cells K19-31 with values used in a minimum default GPL calculation.</t>
    </r>
  </si>
  <si>
    <r>
      <t>Check box 2</t>
    </r>
    <r>
      <rPr>
        <sz val="11"/>
        <rFont val="Calibri"/>
        <family val="2"/>
      </rPr>
      <t>:  Overwrites Enter User Data cells K11 and 12 with values used in a default GPL calculation for relatively biodegradable compounds (generally, petroleum hydrocarbons).</t>
    </r>
  </si>
  <si>
    <r>
      <t>Check box 3</t>
    </r>
    <r>
      <rPr>
        <sz val="11"/>
        <rFont val="Calibri"/>
        <family val="2"/>
      </rPr>
      <t>:  Overwrites Enter User Data cells K11 and 12 with values used in a default GPL calculation for relatively non-biodegradable (generally, chlorinated compounds).</t>
    </r>
  </si>
  <si>
    <t>After selecting appropriate check boxes, click the “OK” button.</t>
  </si>
  <si>
    <r>
      <t>7</t>
    </r>
    <r>
      <rPr>
        <sz val="11"/>
        <rFont val="Calibri"/>
        <family val="2"/>
      </rPr>
      <t xml:space="preserve">) View the results. Rows 48 through 52 of the </t>
    </r>
    <r>
      <rPr>
        <b/>
        <sz val="11"/>
        <rFont val="Calibri"/>
        <family val="2"/>
      </rPr>
      <t>Alt-GPL Valc for VOCs</t>
    </r>
    <r>
      <rPr>
        <sz val="11"/>
        <rFont val="Calibri"/>
        <family val="2"/>
      </rPr>
      <t xml:space="preserve"> worksheet display the GPL and information about the calculation. If the GPL exceeds the solubility threshold, a warning note appears. Additionally, it is noted whether the GPL is calculated based upon a risk-based standard or an Aquifer Water Quality Standard.   </t>
    </r>
  </si>
  <si>
    <t>III.  Soil Phase Partitioning</t>
  </si>
  <si>
    <t>A note on Calculation values (column F) and Data Enter values (column H):</t>
  </si>
  <si>
    <r>
      <t xml:space="preserve">When using the </t>
    </r>
    <r>
      <rPr>
        <b/>
        <sz val="11"/>
        <rFont val="Calibri"/>
        <family val="2"/>
      </rPr>
      <t>Soil Phase Partitioning Calc</t>
    </r>
    <r>
      <rPr>
        <sz val="11"/>
        <rFont val="Calibri"/>
        <family val="2"/>
      </rPr>
      <t xml:space="preserve"> worksheet, user data is entered into the fields under Data Enter (column H), but the worksheet will actually use the values in the fields under Calculation (column F) to complete the phase partitioning calculation. The values in the Calculation values fields (cells F17-19 and F23-25) will generally be determined by the selections made in the drop down lists in cells G14 and 21, and NOT match their corresponding Data Enter fields (cells H17-19 and H23-25). The exception to this occurs when “Enter chemical properties” and/or “New Soil Type” are selected from the dropdown lists. Either of these selections will cause the values in the Calculation values fields to match the data entered into the corresponding Data Enter fields. The values for the Calculation fields and Data Enter fields in the aforementioned cells may not match, but the calculation will still be performed.</t>
    </r>
  </si>
  <si>
    <t>In addition, users should be aware that a value entered into cell H16 of the Data Enter field will be overwritten if the check box “Insert GPL default for foc (.001)” is selected in the dialog box that appears after pressing the “Calculate Soil Phase Concentrations” button.</t>
  </si>
  <si>
    <r>
      <t>1</t>
    </r>
    <r>
      <rPr>
        <sz val="11"/>
        <rFont val="Calibri"/>
        <family val="2"/>
      </rPr>
      <t xml:space="preserve">) Select </t>
    </r>
    <r>
      <rPr>
        <b/>
        <sz val="11"/>
        <rFont val="Calibri"/>
        <family val="2"/>
      </rPr>
      <t>Soil Phase Partitioning Calc</t>
    </r>
    <r>
      <rPr>
        <sz val="11"/>
        <rFont val="Calibri"/>
        <family val="2"/>
      </rPr>
      <t xml:space="preserve"> worksheet. It may be necessary to load the Analysis Tool Pack to use the worksheets in the GPL Model Excel file. This may be done by clicking File -&gt; Options -&gt; Add-Ins -&gt; Analysis Toolpack -&gt; Go...</t>
    </r>
  </si>
  <si>
    <r>
      <t>2</t>
    </r>
    <r>
      <rPr>
        <sz val="11"/>
        <rFont val="Calibri"/>
        <family val="2"/>
      </rPr>
      <t xml:space="preserve">) Select a chemical from the drop down list in cell G14. Values for Koc, Kh, and S of the selected chemical will automatically be drawn from the </t>
    </r>
    <r>
      <rPr>
        <b/>
        <sz val="11"/>
        <rFont val="Calibri"/>
        <family val="2"/>
      </rPr>
      <t>Lookup Table</t>
    </r>
    <r>
      <rPr>
        <sz val="11"/>
        <rFont val="Calibri"/>
        <family val="2"/>
      </rPr>
      <t xml:space="preserve"> worksheet and placed in the appropriate cells in the Calculation field (column F).</t>
    </r>
  </si>
  <si>
    <r>
      <t>4</t>
    </r>
    <r>
      <rPr>
        <sz val="11"/>
        <rFont val="Calibri"/>
        <family val="2"/>
      </rPr>
      <t>) Enter an appropriate value for foc in cell H16. The value of foc used for default GPL calculations is 0.001. Regardless of the foc value entered into Data Enter cell H16, an option to use the default GPL foc value will be presented in the dialog box that appears after pressing the “Calculate Soil Phase Concentrations” button. Selecting this check box will overwrite any user-entered value in cell H16 with 0.001 and the Calculation value in cell F16 will update to match.</t>
    </r>
  </si>
  <si>
    <r>
      <t>5</t>
    </r>
    <r>
      <rPr>
        <sz val="11"/>
        <rFont val="Calibri"/>
        <family val="2"/>
      </rPr>
      <t xml:space="preserve">) Select a soil type from the drop down list in cell G21. Values for Pb, Ow, and Ot of the selected soil type will automatically be drawn from the </t>
    </r>
    <r>
      <rPr>
        <b/>
        <sz val="11"/>
        <rFont val="Calibri"/>
        <family val="2"/>
      </rPr>
      <t>Lookup Table</t>
    </r>
    <r>
      <rPr>
        <sz val="11"/>
        <rFont val="Calibri"/>
        <family val="2"/>
      </rPr>
      <t xml:space="preserve"> worksheet and placed in the appropriate cells in the Calculation values field (column F).</t>
    </r>
  </si>
  <si>
    <t>Other soil properties may be appropriate based upon site-specific information. To calculate phase concentrations for a soil type not available on the drop down list or to force the Calculation values to mirror the Data Enter values, select "New Soil Type" from the list. Values for Pb, Ow, and Ot must be entered into cells H23-25, respectively, if “New Soil Type” is selected.</t>
  </si>
  <si>
    <r>
      <t>6</t>
    </r>
    <r>
      <rPr>
        <sz val="11"/>
        <rFont val="Calibri"/>
        <family val="2"/>
      </rPr>
      <t>) Click the “Calculate Soil Phase Concentrations” button. Upon clicking the button, a dialog box will appear. The dialog box contains three options for a known concentration: soil gas, soil solid, and liquid phase. Select the phase of the known concentration and input the concentration (paying attention to the units) into the data entry field below the three options. The spreadsheet will calculate equilibrium concentrations for the two unselected, unknown phases.</t>
    </r>
  </si>
  <si>
    <t>Additionally, there is an option within the dialog box to “Insert GPL defaults for foc (.001)”. Selecting this option will cause a user-entered value in cell H16 of the Data Enter field to be overwritten with the GPL default value for foc of 0.001.</t>
  </si>
  <si>
    <t>It is necessary to click on the “Calculate Soil Phase Concentrations” button anytime a spreadsheet value is changed in order to calculate a new equilibrium concentration distribution.</t>
  </si>
  <si>
    <t>The first version of the spreadsheet GPL was updated on 1-2013 to correct a problem with the look up table and to password</t>
  </si>
  <si>
    <t>Updated 9-2020 in response to user feedback and to correct xylene saturation error.</t>
  </si>
  <si>
    <t>Protect all of sheets.</t>
  </si>
  <si>
    <r>
      <t>116</t>
    </r>
    <r>
      <rPr>
        <b/>
        <sz val="10"/>
        <rFont val="Arial"/>
        <family val="2"/>
      </rPr>
      <t>*</t>
    </r>
  </si>
  <si>
    <r>
      <t>159</t>
    </r>
    <r>
      <rPr>
        <b/>
        <sz val="10"/>
        <rFont val="Arial"/>
        <family val="2"/>
      </rPr>
      <t>*</t>
    </r>
  </si>
  <si>
    <r>
      <t>81</t>
    </r>
    <r>
      <rPr>
        <b/>
        <sz val="10"/>
        <rFont val="Arial"/>
        <family val="2"/>
      </rPr>
      <t>*</t>
    </r>
  </si>
  <si>
    <r>
      <t>82</t>
    </r>
    <r>
      <rPr>
        <b/>
        <sz val="10"/>
        <rFont val="Arial"/>
        <family val="2"/>
      </rPr>
      <t>*</t>
    </r>
  </si>
  <si>
    <r>
      <t>n (cm</t>
    </r>
    <r>
      <rPr>
        <vertAlign val="superscript"/>
        <sz val="8"/>
        <rFont val="MS Sans Serif"/>
      </rPr>
      <t>3</t>
    </r>
    <r>
      <rPr>
        <sz val="8"/>
        <rFont val="MS Sans Serif"/>
      </rPr>
      <t>/cm</t>
    </r>
    <r>
      <rPr>
        <vertAlign val="superscript"/>
        <sz val="8"/>
        <rFont val="MS Sans Serif"/>
      </rPr>
      <t>3</t>
    </r>
    <r>
      <rPr>
        <sz val="8"/>
        <rFont val="MS Sans Serif"/>
      </rPr>
      <t>)</t>
    </r>
  </si>
  <si>
    <r>
      <t>Bulk density(g/cm</t>
    </r>
    <r>
      <rPr>
        <vertAlign val="superscript"/>
        <sz val="8"/>
        <rFont val="MS Sans Serif"/>
      </rPr>
      <t>3</t>
    </r>
    <r>
      <rPr>
        <sz val="8"/>
        <rFont val="MS Sans Serif"/>
      </rPr>
      <t>)</t>
    </r>
  </si>
  <si>
    <r>
      <t>q</t>
    </r>
    <r>
      <rPr>
        <vertAlign val="subscript"/>
        <sz val="8"/>
        <rFont val="MS Sans Serif"/>
      </rPr>
      <t>w</t>
    </r>
    <r>
      <rPr>
        <sz val="8"/>
        <rFont val="MS Sans Serif"/>
      </rPr>
      <t xml:space="preserve"> (cm</t>
    </r>
    <r>
      <rPr>
        <vertAlign val="superscript"/>
        <sz val="8"/>
        <rFont val="MS Sans Serif"/>
      </rPr>
      <t>3</t>
    </r>
    <r>
      <rPr>
        <sz val="8"/>
        <rFont val="MS Sans Serif"/>
      </rPr>
      <t>/cm</t>
    </r>
    <r>
      <rPr>
        <vertAlign val="superscript"/>
        <sz val="8"/>
        <rFont val="MS Sans Serif"/>
      </rPr>
      <t>3</t>
    </r>
    <r>
      <rPr>
        <sz val="8"/>
        <rFont val="MS Sans Serif"/>
      </rPr>
      <t>)</t>
    </r>
  </si>
  <si>
    <t>( foc = .001, θw=.15, n=.25)</t>
  </si>
  <si>
    <t>S = Solubility</t>
  </si>
  <si>
    <t>( foc = .001, θw=.15, Φ=.25)</t>
  </si>
  <si>
    <t>Pb= Soil dry bulk density = 1.5</t>
  </si>
  <si>
    <r>
      <rPr>
        <b/>
        <sz val="10"/>
        <rFont val="Arial"/>
        <family val="2"/>
      </rPr>
      <t>*</t>
    </r>
    <r>
      <rPr>
        <sz val="10"/>
        <rFont val="Arial"/>
        <family val="2"/>
      </rPr>
      <t xml:space="preserve"> = Based upon saturation limit</t>
    </r>
  </si>
  <si>
    <t>θa = Air filled porosity</t>
  </si>
  <si>
    <t>Kd = Distribution coefficient = foc*Koc</t>
  </si>
  <si>
    <t>θw = Water content= 0.15</t>
  </si>
  <si>
    <t>foc = Fraction of organic carbon = 0.001</t>
  </si>
  <si>
    <t>Φ = Total porosity = 0.25</t>
  </si>
  <si>
    <t>Kh = Henry's constant</t>
  </si>
  <si>
    <t>Koc = Organic carbon partition coefficient</t>
  </si>
  <si>
    <t>Saturation = S/Pb(Kd*Pb+θw+Kh*θa)</t>
  </si>
  <si>
    <t>Sc = distance from vadose impact to</t>
  </si>
  <si>
    <r>
      <t>7</t>
    </r>
    <r>
      <rPr>
        <sz val="11"/>
        <rFont val="Calibri"/>
        <family val="2"/>
      </rPr>
      <t>) View the results. Equilibrium concentrations of soil gas, soil solid, and liquid will appear in rows 40, 43, and 46, respectively. A soil saturation concentration will also be calculated using the values in the Calculation field, and shown in row 49. If the saturation concentration exceeds the soil concentration, a warning note appears in row 50.</t>
    </r>
  </si>
  <si>
    <t>incorporation (cm)</t>
  </si>
  <si>
    <t>w = release width (m)</t>
  </si>
  <si>
    <t>groundwater compliance point (m)</t>
  </si>
  <si>
    <t>of interest (cm)</t>
  </si>
  <si>
    <t>interval (m)</t>
  </si>
  <si>
    <t xml:space="preserve">Calculate equilibrium soil phase concentrations </t>
  </si>
  <si>
    <t>-----OUTPUTS BELOW ARE FOR A SYSTEM IN EQUILIBRIUM-----</t>
  </si>
  <si>
    <r>
      <t>Alt-GPL Calc for VOCs</t>
    </r>
    <r>
      <rPr>
        <sz val="11"/>
        <rFont val="Calibri"/>
        <family val="2"/>
      </rPr>
      <t xml:space="preserve">:  The input and output worksheet to calculate alternative GPLs for VOCs. Drop down boxes are provided to enter chemical (cell K6) and soil (cell K15) type. The selection made from these drop down boxes affects certain chemical and soil parameters (cells K7-10, K16-18). Selecting a listed chemical and/or soil will cause a GPL to be calculated using the parameters included on the Lookup Table worksheet. Selecting "Enter Chemical Properties" and/or "New Soil Type" will cause a GPL to be calculated using data entered by the user on the </t>
    </r>
    <r>
      <rPr>
        <b/>
        <sz val="11"/>
        <rFont val="Calibri"/>
        <family val="2"/>
      </rPr>
      <t>Alt-GPL Calc for VOCs</t>
    </r>
    <r>
      <rPr>
        <sz val="11"/>
        <rFont val="Calibri"/>
        <family val="2"/>
      </rPr>
      <t xml:space="preserve"> worksheet. Upon selecting the button “Run GPL”, a dialog box will appear. The dialog box contains check box 1 to use minimum GPL default values (cells K19 through K31) and check boxes 2 and 3 to use default chemical half-life values (cells K11, K12). Selecting any of these check boxes will overwrite user-entered values.</t>
    </r>
  </si>
  <si>
    <t>Enter Chem (mg/Kg)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</si>
</sst>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00000E+00"/>
    <numFmt numFmtId="165" formatCode="0.000"/>
    <numFmt numFmtId="166" formatCode="0.0"/>
    <numFmt numFmtId="167" formatCode="0E+00"/>
    <numFmt numFmtId="168" formatCode="0.0E+00_)"/>
    <numFmt numFmtId="170" formatCode="#,##0.000_);\(#,##0.000\)"/>
    <numFmt numFmtId="171" formatCode="#,##0.0_);\(#,##0.0\)"/>
    <numFmt numFmtId="173" formatCode="_(* #,##0.000_);_(* \(#,##0.000\);_(* &quot;-&quot;??_);_(@_)"/>
    <numFmt numFmtId="174" formatCode="_(* #,##0_);_(* \(#,##0\);_(* &quot;-&quot;??_);_(@_)"/>
    <numFmt numFmtId="175" formatCode="_(* #,##0.0_);_(* \(#,##0.0\);_(* &quot;-&quot;??_);_(@_)"/>
    <numFmt numFmtId="176" formatCode="_(* #,##0.0000_);_(* \(#,##0.0000\);_(* &quot;-&quot;??_);_(@_)"/>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name val="Arial"/>
      <family val="2"/>
    </font>
    <font>
      <sz val="10"/>
      <color indexed="10"/>
      <name val="Arial"/>
      <family val="2"/>
    </font>
    <font>
      <sz val="18"/>
      <color indexed="15"/>
      <name val="Arial"/>
      <family val="2"/>
    </font>
    <font>
      <sz val="10"/>
      <color indexed="10"/>
      <name val="Arial"/>
      <family val="2"/>
    </font>
    <font>
      <sz val="10"/>
      <color indexed="52"/>
      <name val="Arial"/>
      <family val="2"/>
    </font>
    <font>
      <sz val="18"/>
      <color indexed="15"/>
      <name val="Arial"/>
      <family val="2"/>
    </font>
    <font>
      <sz val="8"/>
      <name val="Arial"/>
      <family val="2"/>
    </font>
    <font>
      <u/>
      <sz val="10"/>
      <color indexed="12"/>
      <name val="Arial"/>
      <family val="2"/>
    </font>
    <font>
      <sz val="16"/>
      <name val="Arial"/>
      <family val="2"/>
    </font>
    <font>
      <b/>
      <sz val="10"/>
      <name val="Arial"/>
      <family val="2"/>
    </font>
    <font>
      <sz val="10"/>
      <color indexed="53"/>
      <name val="Arial"/>
      <family val="2"/>
    </font>
    <font>
      <b/>
      <sz val="10"/>
      <name val="Arial"/>
      <family val="2"/>
    </font>
    <font>
      <b/>
      <sz val="10"/>
      <color indexed="10"/>
      <name val="Arial"/>
      <family val="2"/>
    </font>
    <font>
      <sz val="12"/>
      <name val="Arial"/>
      <family val="2"/>
    </font>
    <font>
      <b/>
      <i/>
      <sz val="10"/>
      <name val="Arial"/>
      <family val="2"/>
    </font>
    <font>
      <sz val="14"/>
      <name val="Arial"/>
      <family val="2"/>
    </font>
    <font>
      <sz val="10"/>
      <color indexed="9"/>
      <name val="Arial"/>
      <family val="2"/>
    </font>
    <font>
      <b/>
      <i/>
      <sz val="10"/>
      <color indexed="10"/>
      <name val="Arial"/>
      <family val="2"/>
    </font>
    <font>
      <sz val="8"/>
      <name val="Arial"/>
      <family val="2"/>
    </font>
    <font>
      <vertAlign val="subscript"/>
      <sz val="8"/>
      <name val="Arial"/>
      <family val="2"/>
    </font>
    <font>
      <vertAlign val="superscript"/>
      <sz val="8"/>
      <name val="Arial"/>
      <family val="2"/>
    </font>
    <font>
      <i/>
      <sz val="8"/>
      <name val="Arial"/>
      <family val="2"/>
    </font>
    <font>
      <sz val="12"/>
      <color indexed="10"/>
      <name val="Arial"/>
      <family val="2"/>
    </font>
    <font>
      <i/>
      <sz val="10"/>
      <name val="Arial"/>
      <family val="2"/>
    </font>
    <font>
      <b/>
      <sz val="14"/>
      <name val="Arial"/>
      <family val="2"/>
    </font>
    <font>
      <b/>
      <sz val="14"/>
      <name val="Arial"/>
      <family val="2"/>
    </font>
    <font>
      <sz val="10"/>
      <color indexed="8"/>
      <name val="Arial"/>
      <family val="2"/>
    </font>
    <font>
      <sz val="10"/>
      <color indexed="8"/>
      <name val="Arial"/>
      <family val="2"/>
    </font>
    <font>
      <sz val="8"/>
      <color indexed="10"/>
      <name val="Arial"/>
      <family val="2"/>
    </font>
    <font>
      <i/>
      <sz val="8"/>
      <color indexed="10"/>
      <name val="Arial"/>
      <family val="2"/>
    </font>
    <font>
      <u/>
      <sz val="8"/>
      <color indexed="12"/>
      <name val="Arial"/>
      <family val="2"/>
    </font>
    <font>
      <b/>
      <sz val="12"/>
      <name val="Arial"/>
      <family val="2"/>
    </font>
    <font>
      <sz val="12"/>
      <name val="Arial"/>
      <family val="2"/>
    </font>
    <font>
      <sz val="12"/>
      <color indexed="10"/>
      <name val="Arial"/>
      <family val="2"/>
    </font>
    <font>
      <sz val="10"/>
      <name val="Arial"/>
      <family val="2"/>
    </font>
    <font>
      <sz val="12"/>
      <name val="Times New Roman"/>
      <family val="1"/>
    </font>
    <font>
      <b/>
      <sz val="12"/>
      <name val="Times New Roman"/>
      <family val="1"/>
    </font>
    <font>
      <i/>
      <sz val="12"/>
      <name val="Times New Roman"/>
      <family val="1"/>
    </font>
    <font>
      <b/>
      <sz val="10"/>
      <color rgb="FF00B050"/>
      <name val="Arial"/>
      <family val="2"/>
    </font>
    <font>
      <i/>
      <sz val="10"/>
      <color theme="4"/>
      <name val="Arial"/>
      <family val="2"/>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9"/>
      <color theme="1"/>
      <name val="Calibri"/>
      <family val="2"/>
      <scheme val="minor"/>
    </font>
    <font>
      <i/>
      <sz val="11"/>
      <color theme="1"/>
      <name val="Calibri"/>
      <family val="2"/>
      <scheme val="minor"/>
    </font>
    <font>
      <b/>
      <vertAlign val="subscript"/>
      <sz val="11"/>
      <color theme="1"/>
      <name val="Calibri"/>
      <family val="2"/>
      <scheme val="minor"/>
    </font>
    <font>
      <vertAlign val="subscript"/>
      <sz val="11"/>
      <color theme="1"/>
      <name val="Calibri"/>
      <family val="2"/>
      <scheme val="minor"/>
    </font>
    <font>
      <sz val="9"/>
      <name val="Arial"/>
      <family val="2"/>
    </font>
    <font>
      <sz val="10"/>
      <name val="Calibri"/>
      <family val="2"/>
    </font>
    <font>
      <b/>
      <sz val="9"/>
      <name val="Arial"/>
      <family val="2"/>
    </font>
    <font>
      <b/>
      <sz val="11"/>
      <name val="Arial"/>
      <family val="2"/>
    </font>
    <font>
      <sz val="11"/>
      <color rgb="FFFF0000"/>
      <name val="Calibri"/>
      <family val="2"/>
      <scheme val="minor"/>
    </font>
    <font>
      <sz val="14"/>
      <color rgb="FFFF0000"/>
      <name val="Calibri"/>
      <family val="2"/>
      <scheme val="minor"/>
    </font>
    <font>
      <sz val="10"/>
      <color rgb="FFFF0000"/>
      <name val="Arial"/>
      <family val="2"/>
    </font>
    <font>
      <sz val="10"/>
      <color theme="1"/>
      <name val="Arial"/>
      <family val="2"/>
    </font>
    <font>
      <sz val="9"/>
      <color theme="1"/>
      <name val="Arial"/>
      <family val="2"/>
    </font>
    <font>
      <b/>
      <sz val="9"/>
      <color theme="1"/>
      <name val="Arial"/>
      <family val="2"/>
    </font>
    <font>
      <sz val="12"/>
      <color theme="4" tint="-0.249977111117893"/>
      <name val="Arial"/>
      <family val="2"/>
    </font>
    <font>
      <b/>
      <sz val="8"/>
      <name val="Arial"/>
      <family val="2"/>
    </font>
    <font>
      <vertAlign val="subscript"/>
      <sz val="10"/>
      <name val="Arial"/>
      <family val="2"/>
    </font>
    <font>
      <b/>
      <sz val="11"/>
      <name val="Calibri"/>
      <family val="2"/>
    </font>
    <font>
      <sz val="11"/>
      <name val="Calibri"/>
      <family val="2"/>
    </font>
    <font>
      <i/>
      <sz val="11"/>
      <name val="Calibri"/>
      <family val="2"/>
    </font>
    <font>
      <b/>
      <sz val="16"/>
      <name val="Calibri"/>
      <family val="2"/>
    </font>
    <font>
      <u/>
      <sz val="11"/>
      <name val="Calibri"/>
      <family val="2"/>
    </font>
    <font>
      <b/>
      <sz val="12"/>
      <color indexed="10"/>
      <name val="Arial"/>
      <family val="2"/>
    </font>
    <font>
      <sz val="8"/>
      <name val="MS Sans Serif"/>
    </font>
    <font>
      <vertAlign val="superscript"/>
      <sz val="8"/>
      <name val="MS Sans Serif"/>
    </font>
    <font>
      <vertAlign val="subscript"/>
      <sz val="8"/>
      <name val="MS Sans Serif"/>
    </font>
    <font>
      <b/>
      <u/>
      <sz val="16"/>
      <name val="Arial"/>
      <family val="2"/>
    </font>
  </fonts>
  <fills count="3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15"/>
        <bgColor indexed="64"/>
      </patternFill>
    </fill>
    <fill>
      <patternFill patternType="solid">
        <fgColor indexed="52"/>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00FFFF"/>
        <bgColor indexed="64"/>
      </patternFill>
    </fill>
    <fill>
      <patternFill patternType="solid">
        <fgColor theme="9" tint="0.39997558519241921"/>
        <bgColor indexed="64"/>
      </patternFill>
    </fill>
    <fill>
      <patternFill patternType="solid">
        <fgColor rgb="FF00B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rgb="FFF4A8EF"/>
        <bgColor indexed="64"/>
      </patternFill>
    </fill>
  </fills>
  <borders count="8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rgb="FF0070C0"/>
      </top>
      <bottom/>
      <diagonal/>
    </border>
    <border>
      <left style="medium">
        <color indexed="64"/>
      </left>
      <right style="medium">
        <color indexed="64"/>
      </right>
      <top style="medium">
        <color rgb="FF0070C0"/>
      </top>
      <bottom/>
      <diagonal/>
    </border>
    <border>
      <left/>
      <right style="medium">
        <color indexed="64"/>
      </right>
      <top style="medium">
        <color rgb="FF0070C0"/>
      </top>
      <bottom/>
      <diagonal/>
    </border>
    <border>
      <left style="medium">
        <color indexed="64"/>
      </left>
      <right style="medium">
        <color indexed="64"/>
      </right>
      <top/>
      <bottom style="medium">
        <color rgb="FF0070C0"/>
      </bottom>
      <diagonal/>
    </border>
    <border>
      <left style="thin">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auto="1"/>
      </right>
      <top style="thin">
        <color auto="1"/>
      </top>
      <bottom style="double">
        <color indexed="64"/>
      </bottom>
      <diagonal/>
    </border>
    <border>
      <left/>
      <right style="thin">
        <color auto="1"/>
      </right>
      <top style="thin">
        <color auto="1"/>
      </top>
      <bottom style="medium">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indexed="64"/>
      </top>
      <bottom style="medium">
        <color auto="1"/>
      </bottom>
      <diagonal/>
    </border>
    <border>
      <left style="hair">
        <color indexed="64"/>
      </left>
      <right style="thin">
        <color auto="1"/>
      </right>
      <top style="thin">
        <color indexed="64"/>
      </top>
      <bottom style="medium">
        <color auto="1"/>
      </bottom>
      <diagonal/>
    </border>
    <border>
      <left style="hair">
        <color indexed="64"/>
      </left>
      <right style="medium">
        <color auto="1"/>
      </right>
      <top style="thin">
        <color indexed="64"/>
      </top>
      <bottom style="thin">
        <color indexed="64"/>
      </bottom>
      <diagonal/>
    </border>
    <border>
      <left style="hair">
        <color indexed="64"/>
      </left>
      <right style="medium">
        <color auto="1"/>
      </right>
      <top style="thin">
        <color indexed="64"/>
      </top>
      <bottom style="medium">
        <color auto="1"/>
      </bottom>
      <diagonal/>
    </border>
    <border>
      <left style="medium">
        <color indexed="64"/>
      </left>
      <right/>
      <top style="double">
        <color indexed="64"/>
      </top>
      <bottom style="thin">
        <color indexed="64"/>
      </bottom>
      <diagonal/>
    </border>
    <border>
      <left/>
      <right style="medium">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right style="medium">
        <color auto="1"/>
      </right>
      <top style="hair">
        <color auto="1"/>
      </top>
      <bottom/>
      <diagonal/>
    </border>
    <border>
      <left style="thin">
        <color indexed="64"/>
      </left>
      <right style="thin">
        <color indexed="64"/>
      </right>
      <top style="hair">
        <color indexed="64"/>
      </top>
      <bottom style="hair">
        <color indexed="64"/>
      </bottom>
      <diagonal/>
    </border>
    <border>
      <left/>
      <right/>
      <top/>
      <bottom style="hair">
        <color auto="1"/>
      </bottom>
      <diagonal/>
    </border>
    <border>
      <left/>
      <right style="thin">
        <color indexed="64"/>
      </right>
      <top style="hair">
        <color indexed="64"/>
      </top>
      <bottom style="hair">
        <color indexed="64"/>
      </bottom>
      <diagonal/>
    </border>
    <border>
      <left style="medium">
        <color indexed="64"/>
      </left>
      <right/>
      <top style="double">
        <color indexed="64"/>
      </top>
      <bottom/>
      <diagonal/>
    </border>
    <border>
      <left/>
      <right style="thin">
        <color indexed="64"/>
      </right>
      <top style="thin">
        <color indexed="64"/>
      </top>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s>
  <cellStyleXfs count="6">
    <xf numFmtId="0" fontId="0" fillId="0" borderId="0"/>
    <xf numFmtId="0" fontId="16" fillId="0" borderId="0" applyNumberFormat="0" applyFill="0" applyBorder="0" applyAlignment="0" applyProtection="0">
      <alignment vertical="top"/>
      <protection locked="0"/>
    </xf>
    <xf numFmtId="43" fontId="7" fillId="0" borderId="0" applyFont="0" applyFill="0" applyBorder="0" applyAlignment="0" applyProtection="0"/>
    <xf numFmtId="0" fontId="6" fillId="0" borderId="0"/>
    <xf numFmtId="43" fontId="6" fillId="0" borderId="0" applyFont="0" applyFill="0" applyBorder="0" applyAlignment="0" applyProtection="0"/>
    <xf numFmtId="0" fontId="61" fillId="0" borderId="0" applyNumberFormat="0" applyFill="0" applyBorder="0" applyAlignment="0" applyProtection="0"/>
  </cellStyleXfs>
  <cellXfs count="611">
    <xf numFmtId="0" fontId="0" fillId="0" borderId="0" xfId="0"/>
    <xf numFmtId="0" fontId="0" fillId="0" borderId="0" xfId="0" applyProtection="1"/>
    <xf numFmtId="0" fontId="19" fillId="0" borderId="0" xfId="0" applyFont="1" applyProtection="1"/>
    <xf numFmtId="0" fontId="14" fillId="0" borderId="0" xfId="0" applyFont="1" applyProtection="1"/>
    <xf numFmtId="0" fontId="11" fillId="0" borderId="0" xfId="0" applyFont="1" applyProtection="1"/>
    <xf numFmtId="164" fontId="17" fillId="0" borderId="0" xfId="0" applyNumberFormat="1" applyFont="1" applyAlignment="1" applyProtection="1">
      <alignment horizontal="center"/>
    </xf>
    <xf numFmtId="0" fontId="13" fillId="0" borderId="0" xfId="0" applyFont="1" applyProtection="1"/>
    <xf numFmtId="0" fontId="10" fillId="0" borderId="0" xfId="0" applyFont="1" applyProtection="1"/>
    <xf numFmtId="14" fontId="0" fillId="0" borderId="0" xfId="0" applyNumberFormat="1" applyProtection="1"/>
    <xf numFmtId="0" fontId="18" fillId="0" borderId="0" xfId="0" applyFont="1" applyProtection="1"/>
    <xf numFmtId="0" fontId="12" fillId="0" borderId="0" xfId="0" applyFont="1" applyProtection="1"/>
    <xf numFmtId="0" fontId="23" fillId="0" borderId="0" xfId="0" applyFont="1"/>
    <xf numFmtId="0" fontId="23" fillId="0" borderId="0" xfId="0" applyFont="1" applyProtection="1"/>
    <xf numFmtId="0" fontId="7" fillId="0" borderId="0" xfId="0" applyFont="1"/>
    <xf numFmtId="0" fontId="7" fillId="0" borderId="0" xfId="0" applyFont="1" applyBorder="1"/>
    <xf numFmtId="0" fontId="7" fillId="2" borderId="2" xfId="0" applyFont="1" applyFill="1" applyBorder="1"/>
    <xf numFmtId="14" fontId="0" fillId="0" borderId="0" xfId="0" applyNumberFormat="1"/>
    <xf numFmtId="0" fontId="26" fillId="0" borderId="0" xfId="0" applyFont="1" applyProtection="1"/>
    <xf numFmtId="0" fontId="0" fillId="4" borderId="11" xfId="0" applyFill="1" applyBorder="1" applyProtection="1">
      <protection locked="0"/>
    </xf>
    <xf numFmtId="1" fontId="0" fillId="0" borderId="0" xfId="0" applyNumberFormat="1" applyProtection="1"/>
    <xf numFmtId="2" fontId="20" fillId="5" borderId="11" xfId="0" applyNumberFormat="1" applyFont="1" applyFill="1" applyBorder="1" applyProtection="1"/>
    <xf numFmtId="0" fontId="0" fillId="5" borderId="15" xfId="0" applyFill="1" applyBorder="1" applyProtection="1"/>
    <xf numFmtId="0" fontId="0" fillId="5" borderId="10" xfId="0" applyFill="1" applyBorder="1" applyProtection="1"/>
    <xf numFmtId="0" fontId="0" fillId="0" borderId="0" xfId="0" applyNumberFormat="1" applyProtection="1"/>
    <xf numFmtId="0" fontId="9" fillId="0" borderId="0" xfId="0" applyFont="1" applyProtection="1"/>
    <xf numFmtId="0" fontId="31" fillId="0" borderId="0" xfId="0" applyNumberFormat="1" applyFont="1" applyProtection="1"/>
    <xf numFmtId="0" fontId="0" fillId="0" borderId="0" xfId="0" applyNumberFormat="1" applyFill="1" applyProtection="1"/>
    <xf numFmtId="0" fontId="0" fillId="0" borderId="0" xfId="0" quotePrefix="1" applyProtection="1"/>
    <xf numFmtId="0" fontId="10" fillId="0" borderId="0" xfId="0" quotePrefix="1" applyFont="1" applyProtection="1"/>
    <xf numFmtId="0" fontId="0" fillId="0" borderId="0" xfId="0" applyNumberFormat="1" applyBorder="1" applyProtection="1"/>
    <xf numFmtId="0" fontId="48" fillId="0" borderId="0" xfId="0" quotePrefix="1" applyFont="1" applyProtection="1"/>
    <xf numFmtId="166" fontId="0" fillId="0" borderId="11" xfId="0" applyNumberFormat="1" applyBorder="1" applyAlignment="1">
      <alignment horizontal="center"/>
    </xf>
    <xf numFmtId="0" fontId="7" fillId="0" borderId="0" xfId="0" applyFont="1" applyProtection="1"/>
    <xf numFmtId="0" fontId="0" fillId="0" borderId="0" xfId="0" applyNumberFormat="1" applyFill="1" applyBorder="1" applyProtection="1"/>
    <xf numFmtId="0" fontId="12" fillId="0" borderId="0" xfId="0" applyNumberFormat="1" applyFont="1" applyFill="1" applyBorder="1" applyAlignment="1" applyProtection="1">
      <alignment horizontal="center"/>
    </xf>
    <xf numFmtId="0" fontId="6" fillId="0" borderId="0" xfId="3" applyProtection="1"/>
    <xf numFmtId="0" fontId="49" fillId="11" borderId="26" xfId="3" applyFont="1" applyFill="1" applyBorder="1" applyAlignment="1" applyProtection="1">
      <alignment horizontal="center"/>
    </xf>
    <xf numFmtId="0" fontId="6" fillId="0" borderId="0" xfId="3" applyAlignment="1" applyProtection="1">
      <alignment horizontal="center"/>
    </xf>
    <xf numFmtId="0" fontId="50" fillId="12" borderId="28" xfId="3" applyFont="1" applyFill="1" applyBorder="1" applyAlignment="1" applyProtection="1">
      <alignment horizontal="center"/>
    </xf>
    <xf numFmtId="0" fontId="50" fillId="13" borderId="28" xfId="3" applyFont="1" applyFill="1" applyBorder="1" applyAlignment="1" applyProtection="1">
      <alignment horizontal="center"/>
    </xf>
    <xf numFmtId="0" fontId="6" fillId="0" borderId="0" xfId="3" applyFill="1" applyBorder="1" applyAlignment="1" applyProtection="1">
      <alignment horizontal="center"/>
    </xf>
    <xf numFmtId="0" fontId="50" fillId="14" borderId="28" xfId="3" applyFont="1" applyFill="1" applyBorder="1" applyAlignment="1" applyProtection="1">
      <alignment horizontal="center"/>
    </xf>
    <xf numFmtId="0" fontId="50" fillId="15" borderId="28" xfId="3" applyFont="1" applyFill="1" applyBorder="1" applyAlignment="1" applyProtection="1">
      <alignment horizontal="center"/>
    </xf>
    <xf numFmtId="0" fontId="50" fillId="16" borderId="28" xfId="3" applyFont="1" applyFill="1" applyBorder="1" applyAlignment="1" applyProtection="1">
      <alignment horizontal="center"/>
    </xf>
    <xf numFmtId="0" fontId="50" fillId="17" borderId="28" xfId="3" applyFont="1" applyFill="1" applyBorder="1" applyAlignment="1" applyProtection="1">
      <alignment horizontal="center"/>
    </xf>
    <xf numFmtId="0" fontId="50" fillId="18" borderId="28" xfId="3" applyFont="1" applyFill="1" applyBorder="1" applyAlignment="1" applyProtection="1">
      <alignment horizontal="center"/>
    </xf>
    <xf numFmtId="0" fontId="50" fillId="19" borderId="28" xfId="3" applyFont="1" applyFill="1" applyBorder="1" applyAlignment="1" applyProtection="1">
      <alignment horizontal="center"/>
    </xf>
    <xf numFmtId="0" fontId="50" fillId="20" borderId="30" xfId="3" applyFont="1" applyFill="1" applyBorder="1" applyAlignment="1" applyProtection="1">
      <alignment horizontal="center"/>
    </xf>
    <xf numFmtId="0" fontId="6" fillId="0" borderId="0" xfId="3" applyFill="1" applyProtection="1"/>
    <xf numFmtId="0" fontId="6" fillId="0" borderId="0" xfId="3" applyFill="1" applyAlignment="1" applyProtection="1">
      <alignment wrapText="1"/>
    </xf>
    <xf numFmtId="165" fontId="6" fillId="0" borderId="29" xfId="3" applyNumberFormat="1" applyFill="1" applyBorder="1" applyAlignment="1" applyProtection="1">
      <alignment horizontal="center"/>
      <protection locked="0"/>
    </xf>
    <xf numFmtId="166" fontId="7" fillId="0" borderId="0" xfId="0" applyNumberFormat="1" applyFont="1" applyBorder="1"/>
    <xf numFmtId="166" fontId="7" fillId="2" borderId="2" xfId="0" applyNumberFormat="1" applyFont="1" applyFill="1" applyBorder="1"/>
    <xf numFmtId="0" fontId="0" fillId="0" borderId="0" xfId="0" applyBorder="1"/>
    <xf numFmtId="166" fontId="0" fillId="0" borderId="0" xfId="0" applyNumberFormat="1" applyBorder="1"/>
    <xf numFmtId="166" fontId="7" fillId="7" borderId="0" xfId="0" applyNumberFormat="1" applyFont="1" applyFill="1" applyBorder="1" applyAlignment="1">
      <alignment horizontal="center"/>
    </xf>
    <xf numFmtId="165" fontId="0" fillId="0" borderId="11" xfId="0" applyNumberFormat="1" applyBorder="1" applyAlignment="1">
      <alignment horizontal="center"/>
    </xf>
    <xf numFmtId="166" fontId="7" fillId="0" borderId="6" xfId="0" applyNumberFormat="1" applyFont="1" applyBorder="1" applyAlignment="1">
      <alignment horizontal="center"/>
    </xf>
    <xf numFmtId="0" fontId="0" fillId="0" borderId="11" xfId="0" applyNumberFormat="1" applyBorder="1" applyAlignment="1" applyProtection="1">
      <alignment horizontal="center"/>
    </xf>
    <xf numFmtId="0" fontId="7" fillId="0" borderId="11" xfId="0" applyNumberFormat="1" applyFont="1" applyBorder="1" applyAlignment="1" applyProtection="1">
      <alignment horizontal="center"/>
    </xf>
    <xf numFmtId="0" fontId="0" fillId="0" borderId="11" xfId="0" applyNumberFormat="1" applyFill="1" applyBorder="1" applyAlignment="1" applyProtection="1">
      <alignment horizontal="center"/>
    </xf>
    <xf numFmtId="0" fontId="0" fillId="0" borderId="45" xfId="0" applyNumberFormat="1" applyBorder="1" applyProtection="1"/>
    <xf numFmtId="166" fontId="0" fillId="0" borderId="0" xfId="0" applyNumberFormat="1" applyFill="1" applyBorder="1" applyAlignment="1">
      <alignment horizontal="left"/>
    </xf>
    <xf numFmtId="166" fontId="7" fillId="0" borderId="15" xfId="0" applyNumberFormat="1" applyFont="1" applyBorder="1" applyAlignment="1">
      <alignment horizontal="left"/>
    </xf>
    <xf numFmtId="166" fontId="0" fillId="0" borderId="10" xfId="0" applyNumberFormat="1" applyBorder="1" applyAlignment="1">
      <alignment horizontal="center"/>
    </xf>
    <xf numFmtId="166" fontId="7" fillId="0" borderId="15" xfId="0" applyNumberFormat="1" applyFont="1" applyBorder="1" applyAlignment="1">
      <alignment horizontal="center"/>
    </xf>
    <xf numFmtId="0" fontId="7" fillId="27" borderId="11" xfId="0" applyNumberFormat="1" applyFont="1" applyFill="1" applyBorder="1" applyAlignment="1" applyProtection="1">
      <alignment horizontal="center"/>
    </xf>
    <xf numFmtId="0" fontId="0" fillId="27" borderId="11" xfId="0" applyNumberFormat="1" applyFill="1" applyBorder="1" applyAlignment="1" applyProtection="1">
      <alignment horizontal="center"/>
    </xf>
    <xf numFmtId="0" fontId="12" fillId="6" borderId="6" xfId="0" applyNumberFormat="1" applyFont="1" applyFill="1" applyBorder="1" applyAlignment="1" applyProtection="1">
      <alignment horizontal="center"/>
      <protection locked="0"/>
    </xf>
    <xf numFmtId="0" fontId="0" fillId="0" borderId="42" xfId="0" applyNumberFormat="1" applyFill="1" applyBorder="1" applyAlignment="1" applyProtection="1">
      <alignment horizontal="center"/>
    </xf>
    <xf numFmtId="0" fontId="0" fillId="0" borderId="42" xfId="0" applyNumberFormat="1" applyFont="1" applyFill="1" applyBorder="1" applyAlignment="1" applyProtection="1">
      <alignment horizontal="center"/>
    </xf>
    <xf numFmtId="0" fontId="0" fillId="0" borderId="43" xfId="0" applyNumberFormat="1" applyFont="1" applyFill="1" applyBorder="1" applyAlignment="1" applyProtection="1">
      <alignment horizontal="center"/>
    </xf>
    <xf numFmtId="0" fontId="0" fillId="0" borderId="38" xfId="0" applyNumberFormat="1" applyFill="1" applyBorder="1" applyAlignment="1" applyProtection="1">
      <alignment horizontal="center"/>
    </xf>
    <xf numFmtId="0" fontId="10" fillId="27" borderId="48" xfId="0" applyNumberFormat="1" applyFont="1" applyFill="1" applyBorder="1" applyAlignment="1" applyProtection="1">
      <alignment horizontal="center" vertical="center" wrapText="1"/>
    </xf>
    <xf numFmtId="0" fontId="65" fillId="27" borderId="48" xfId="0" applyNumberFormat="1" applyFont="1" applyFill="1" applyBorder="1" applyAlignment="1" applyProtection="1">
      <alignment horizontal="center" vertical="center" wrapText="1"/>
    </xf>
    <xf numFmtId="0" fontId="0" fillId="27" borderId="29" xfId="0" applyFill="1" applyBorder="1" applyAlignment="1">
      <alignment horizontal="center"/>
    </xf>
    <xf numFmtId="0" fontId="7" fillId="27" borderId="29" xfId="0" applyFont="1" applyFill="1" applyBorder="1" applyAlignment="1">
      <alignment horizontal="center"/>
    </xf>
    <xf numFmtId="0" fontId="0" fillId="27" borderId="31" xfId="0" applyFill="1" applyBorder="1" applyAlignment="1">
      <alignment horizontal="center"/>
    </xf>
    <xf numFmtId="0" fontId="18" fillId="27" borderId="50" xfId="0" applyFont="1" applyFill="1" applyBorder="1" applyAlignment="1">
      <alignment horizontal="center"/>
    </xf>
    <xf numFmtId="0" fontId="7" fillId="27" borderId="38" xfId="0" applyNumberFormat="1" applyFont="1" applyFill="1" applyBorder="1" applyAlignment="1" applyProtection="1">
      <alignment horizontal="center"/>
    </xf>
    <xf numFmtId="0" fontId="64" fillId="27" borderId="48" xfId="0" applyNumberFormat="1" applyFont="1" applyFill="1" applyBorder="1" applyAlignment="1" applyProtection="1">
      <alignment horizontal="center" vertical="center" wrapText="1"/>
    </xf>
    <xf numFmtId="0" fontId="7" fillId="0" borderId="49" xfId="0" applyFont="1" applyBorder="1" applyAlignment="1">
      <alignment horizontal="center" vertical="center" wrapText="1"/>
    </xf>
    <xf numFmtId="0" fontId="64" fillId="0" borderId="18" xfId="0" applyNumberFormat="1" applyFont="1" applyBorder="1" applyAlignment="1" applyProtection="1">
      <alignment horizontal="center" vertical="center" wrapText="1"/>
    </xf>
    <xf numFmtId="0" fontId="0" fillId="3" borderId="1" xfId="0" applyFill="1" applyBorder="1" applyAlignment="1" applyProtection="1">
      <alignment horizontal="center"/>
    </xf>
    <xf numFmtId="0" fontId="7" fillId="3" borderId="14" xfId="0" applyFont="1" applyFill="1" applyBorder="1" applyAlignment="1" applyProtection="1">
      <alignment horizontal="center"/>
    </xf>
    <xf numFmtId="0" fontId="0" fillId="3" borderId="6" xfId="0" applyFill="1" applyBorder="1" applyAlignment="1" applyProtection="1">
      <alignment horizontal="center"/>
    </xf>
    <xf numFmtId="0" fontId="7" fillId="3" borderId="13" xfId="0" applyFont="1" applyFill="1" applyBorder="1" applyAlignment="1" applyProtection="1">
      <alignment horizontal="center"/>
    </xf>
    <xf numFmtId="0" fontId="27" fillId="3" borderId="6" xfId="0" applyFont="1" applyFill="1" applyBorder="1" applyAlignment="1" applyProtection="1">
      <alignment horizontal="center"/>
    </xf>
    <xf numFmtId="0" fontId="27" fillId="3" borderId="13" xfId="0" applyFont="1" applyFill="1" applyBorder="1" applyAlignment="1" applyProtection="1">
      <alignment horizontal="center"/>
    </xf>
    <xf numFmtId="0" fontId="27" fillId="3" borderId="13" xfId="0" applyFont="1" applyFill="1" applyBorder="1" applyProtection="1"/>
    <xf numFmtId="0" fontId="0" fillId="0" borderId="0" xfId="0" applyBorder="1" applyProtection="1"/>
    <xf numFmtId="0" fontId="0" fillId="0" borderId="0" xfId="0" applyFill="1" applyBorder="1" applyProtection="1"/>
    <xf numFmtId="0" fontId="40" fillId="0" borderId="0" xfId="0" applyFont="1" applyProtection="1"/>
    <xf numFmtId="0" fontId="20" fillId="0" borderId="0" xfId="0" applyFont="1" applyProtection="1"/>
    <xf numFmtId="0" fontId="21" fillId="0" borderId="0" xfId="0" applyFont="1" applyProtection="1"/>
    <xf numFmtId="0" fontId="0" fillId="0" borderId="0" xfId="0" applyFill="1" applyProtection="1"/>
    <xf numFmtId="3" fontId="0" fillId="0" borderId="0" xfId="0" applyNumberFormat="1" applyProtection="1"/>
    <xf numFmtId="0" fontId="7" fillId="0" borderId="0" xfId="0" applyFont="1" applyFill="1" applyBorder="1" applyProtection="1"/>
    <xf numFmtId="0" fontId="40" fillId="0" borderId="0" xfId="0" applyFont="1" applyBorder="1" applyProtection="1"/>
    <xf numFmtId="0" fontId="40" fillId="0" borderId="0" xfId="0" applyFont="1" applyFill="1" applyBorder="1" applyProtection="1"/>
    <xf numFmtId="166" fontId="7" fillId="2" borderId="3" xfId="0" applyNumberFormat="1" applyFont="1" applyFill="1" applyBorder="1"/>
    <xf numFmtId="166" fontId="7" fillId="2" borderId="3" xfId="0" applyNumberFormat="1" applyFont="1" applyFill="1" applyBorder="1" applyAlignment="1">
      <alignment horizontal="center"/>
    </xf>
    <xf numFmtId="0" fontId="49" fillId="11" borderId="26" xfId="3" applyFont="1" applyFill="1" applyBorder="1" applyAlignment="1" applyProtection="1">
      <alignment horizontal="center" wrapText="1"/>
    </xf>
    <xf numFmtId="0" fontId="49" fillId="11" borderId="27" xfId="3" applyFont="1" applyFill="1" applyBorder="1" applyAlignment="1" applyProtection="1">
      <alignment horizontal="center" wrapText="1"/>
    </xf>
    <xf numFmtId="0" fontId="50" fillId="12" borderId="26" xfId="3" applyFont="1" applyFill="1" applyBorder="1" applyAlignment="1" applyProtection="1">
      <alignment horizontal="center" wrapText="1"/>
    </xf>
    <xf numFmtId="0" fontId="50" fillId="12" borderId="27" xfId="3" applyFont="1" applyFill="1" applyBorder="1" applyAlignment="1" applyProtection="1">
      <alignment horizontal="center" wrapText="1"/>
    </xf>
    <xf numFmtId="0" fontId="50" fillId="13" borderId="26" xfId="3" applyFont="1" applyFill="1" applyBorder="1" applyAlignment="1" applyProtection="1">
      <alignment horizontal="center" wrapText="1"/>
    </xf>
    <xf numFmtId="0" fontId="50" fillId="13" borderId="27" xfId="3" applyFont="1" applyFill="1" applyBorder="1" applyAlignment="1" applyProtection="1">
      <alignment horizontal="center" wrapText="1"/>
    </xf>
    <xf numFmtId="0" fontId="50" fillId="14" borderId="32" xfId="3" applyFont="1" applyFill="1" applyBorder="1" applyAlignment="1" applyProtection="1">
      <alignment horizontal="center" wrapText="1"/>
    </xf>
    <xf numFmtId="0" fontId="50" fillId="14" borderId="27" xfId="3" applyFont="1" applyFill="1" applyBorder="1" applyAlignment="1" applyProtection="1">
      <alignment horizontal="center" wrapText="1"/>
    </xf>
    <xf numFmtId="0" fontId="50" fillId="15" borderId="26" xfId="3" applyFont="1" applyFill="1" applyBorder="1" applyAlignment="1" applyProtection="1">
      <alignment horizontal="center" wrapText="1"/>
    </xf>
    <xf numFmtId="0" fontId="50" fillId="16" borderId="32" xfId="3" applyFont="1" applyFill="1" applyBorder="1" applyAlignment="1" applyProtection="1">
      <alignment horizontal="center" wrapText="1"/>
    </xf>
    <xf numFmtId="0" fontId="49" fillId="21" borderId="26" xfId="3" applyFont="1" applyFill="1" applyBorder="1" applyAlignment="1" applyProtection="1">
      <alignment horizontal="center" wrapText="1"/>
    </xf>
    <xf numFmtId="0" fontId="49" fillId="21" borderId="27" xfId="3" applyFont="1" applyFill="1" applyBorder="1" applyAlignment="1" applyProtection="1">
      <alignment horizontal="center" wrapText="1"/>
    </xf>
    <xf numFmtId="0" fontId="50" fillId="17" borderId="27" xfId="3" applyFont="1" applyFill="1" applyBorder="1" applyAlignment="1" applyProtection="1">
      <alignment horizontal="center" wrapText="1"/>
    </xf>
    <xf numFmtId="0" fontId="50" fillId="18" borderId="26" xfId="3" applyFont="1" applyFill="1" applyBorder="1" applyAlignment="1" applyProtection="1">
      <alignment horizontal="center" wrapText="1"/>
    </xf>
    <xf numFmtId="0" fontId="50" fillId="18" borderId="27" xfId="3" applyFont="1" applyFill="1" applyBorder="1" applyAlignment="1" applyProtection="1">
      <alignment horizontal="center" wrapText="1"/>
    </xf>
    <xf numFmtId="0" fontId="50" fillId="19" borderId="26" xfId="3" applyFont="1" applyFill="1" applyBorder="1" applyAlignment="1" applyProtection="1">
      <alignment horizontal="center" wrapText="1"/>
    </xf>
    <xf numFmtId="166" fontId="7" fillId="23" borderId="0" xfId="0" applyNumberFormat="1" applyFont="1" applyFill="1" applyBorder="1"/>
    <xf numFmtId="166" fontId="7" fillId="16" borderId="0" xfId="0" applyNumberFormat="1" applyFont="1" applyFill="1" applyBorder="1" applyAlignment="1">
      <alignment horizontal="left"/>
    </xf>
    <xf numFmtId="166" fontId="7" fillId="8" borderId="0" xfId="0" applyNumberFormat="1" applyFont="1" applyFill="1" applyBorder="1"/>
    <xf numFmtId="166" fontId="7" fillId="2" borderId="52" xfId="0" applyNumberFormat="1" applyFont="1" applyFill="1" applyBorder="1"/>
    <xf numFmtId="166" fontId="7" fillId="24" borderId="54" xfId="0" applyNumberFormat="1" applyFont="1" applyFill="1" applyBorder="1"/>
    <xf numFmtId="0" fontId="7" fillId="27" borderId="11" xfId="0" quotePrefix="1" applyNumberFormat="1" applyFont="1" applyFill="1" applyBorder="1" applyAlignment="1" applyProtection="1">
      <alignment horizontal="center"/>
    </xf>
    <xf numFmtId="43" fontId="0" fillId="7" borderId="15" xfId="2" applyNumberFormat="1" applyFont="1" applyFill="1" applyBorder="1" applyAlignment="1" applyProtection="1">
      <alignment vertical="center"/>
      <protection locked="0"/>
    </xf>
    <xf numFmtId="43" fontId="0" fillId="4" borderId="15" xfId="2" applyNumberFormat="1" applyFont="1" applyFill="1" applyBorder="1" applyAlignment="1" applyProtection="1">
      <alignment vertical="center"/>
      <protection locked="0"/>
    </xf>
    <xf numFmtId="43" fontId="0" fillId="10" borderId="15" xfId="2" applyNumberFormat="1" applyFont="1" applyFill="1" applyBorder="1" applyAlignment="1" applyProtection="1">
      <alignment vertical="center"/>
      <protection locked="0"/>
    </xf>
    <xf numFmtId="43" fontId="7" fillId="4" borderId="15" xfId="2" applyNumberFormat="1" applyFont="1" applyFill="1" applyBorder="1" applyAlignment="1" applyProtection="1">
      <alignment vertical="center"/>
      <protection locked="0"/>
    </xf>
    <xf numFmtId="43" fontId="12" fillId="0" borderId="11" xfId="2" applyFont="1" applyBorder="1" applyAlignment="1" applyProtection="1">
      <alignment horizontal="center"/>
    </xf>
    <xf numFmtId="0" fontId="12" fillId="0" borderId="0" xfId="0" applyNumberFormat="1" applyFont="1" applyFill="1" applyBorder="1" applyProtection="1"/>
    <xf numFmtId="0" fontId="7" fillId="0" borderId="0" xfId="0" applyNumberFormat="1" applyFont="1" applyFill="1" applyBorder="1" applyProtection="1"/>
    <xf numFmtId="165" fontId="0" fillId="0" borderId="38" xfId="0" applyNumberFormat="1" applyBorder="1" applyAlignment="1">
      <alignment horizontal="center"/>
    </xf>
    <xf numFmtId="166" fontId="0" fillId="0" borderId="38" xfId="0" applyNumberFormat="1" applyFill="1" applyBorder="1" applyAlignment="1">
      <alignment horizontal="center"/>
    </xf>
    <xf numFmtId="166" fontId="22" fillId="2" borderId="3" xfId="0" applyNumberFormat="1" applyFont="1" applyFill="1" applyBorder="1" applyAlignment="1">
      <alignment horizontal="center"/>
    </xf>
    <xf numFmtId="166" fontId="22" fillId="2" borderId="2" xfId="0" applyNumberFormat="1" applyFont="1" applyFill="1" applyBorder="1" applyAlignment="1">
      <alignment horizontal="center"/>
    </xf>
    <xf numFmtId="0" fontId="0" fillId="0" borderId="0" xfId="0" applyFill="1" applyBorder="1"/>
    <xf numFmtId="166" fontId="0" fillId="0" borderId="0" xfId="0" applyNumberFormat="1" applyFill="1" applyBorder="1"/>
    <xf numFmtId="166" fontId="7" fillId="0" borderId="0" xfId="0" applyNumberFormat="1" applyFont="1" applyFill="1" applyBorder="1"/>
    <xf numFmtId="166" fontId="57" fillId="0" borderId="0" xfId="0" applyNumberFormat="1" applyFont="1" applyFill="1" applyBorder="1" applyAlignment="1">
      <alignment horizontal="left"/>
    </xf>
    <xf numFmtId="166" fontId="15" fillId="0" borderId="0" xfId="0" applyNumberFormat="1" applyFont="1" applyFill="1" applyBorder="1" applyAlignment="1">
      <alignment horizontal="left"/>
    </xf>
    <xf numFmtId="166" fontId="7" fillId="0" borderId="0" xfId="0" applyNumberFormat="1" applyFont="1" applyFill="1" applyBorder="1" applyAlignment="1">
      <alignment horizontal="left"/>
    </xf>
    <xf numFmtId="166" fontId="0" fillId="0" borderId="0" xfId="0" applyNumberFormat="1" applyFill="1" applyBorder="1" applyAlignment="1"/>
    <xf numFmtId="166" fontId="7" fillId="0" borderId="0" xfId="0" applyNumberFormat="1" applyFont="1" applyFill="1" applyBorder="1" applyAlignment="1">
      <alignment horizontal="center"/>
    </xf>
    <xf numFmtId="166" fontId="57" fillId="0" borderId="0" xfId="0" applyNumberFormat="1" applyFont="1" applyFill="1" applyBorder="1" applyAlignment="1">
      <alignment horizontal="center"/>
    </xf>
    <xf numFmtId="166" fontId="0" fillId="0" borderId="0" xfId="0" applyNumberFormat="1" applyFill="1" applyBorder="1" applyAlignment="1">
      <alignment horizontal="right"/>
    </xf>
    <xf numFmtId="0" fontId="7" fillId="0" borderId="0" xfId="0" applyFont="1" applyFill="1" applyBorder="1"/>
    <xf numFmtId="0" fontId="24" fillId="0" borderId="0" xfId="0" applyFont="1" applyFill="1" applyBorder="1"/>
    <xf numFmtId="0" fontId="33" fillId="0" borderId="0" xfId="0" applyNumberFormat="1" applyFont="1" applyFill="1" applyBorder="1" applyProtection="1"/>
    <xf numFmtId="0" fontId="60" fillId="0" borderId="0" xfId="0" applyNumberFormat="1" applyFont="1" applyFill="1" applyBorder="1" applyProtection="1"/>
    <xf numFmtId="0" fontId="24" fillId="0" borderId="0" xfId="0" applyNumberFormat="1" applyFont="1" applyFill="1" applyBorder="1" applyProtection="1"/>
    <xf numFmtId="166" fontId="25" fillId="0" borderId="0" xfId="0" applyNumberFormat="1" applyFont="1" applyFill="1" applyBorder="1"/>
    <xf numFmtId="166" fontId="67" fillId="0" borderId="0" xfId="0" applyNumberFormat="1" applyFont="1" applyFill="1" applyBorder="1"/>
    <xf numFmtId="166" fontId="19" fillId="0" borderId="0" xfId="0" applyNumberFormat="1" applyFont="1" applyFill="1" applyBorder="1"/>
    <xf numFmtId="166" fontId="40" fillId="0" borderId="0" xfId="0" applyNumberFormat="1" applyFont="1" applyFill="1" applyBorder="1"/>
    <xf numFmtId="166" fontId="33" fillId="0" borderId="0" xfId="0" applyNumberFormat="1" applyFont="1" applyFill="1" applyBorder="1" applyAlignment="1">
      <alignment horizontal="center" vertical="center"/>
    </xf>
    <xf numFmtId="166" fontId="22" fillId="0" borderId="0" xfId="0" applyNumberFormat="1" applyFont="1" applyFill="1" applyBorder="1"/>
    <xf numFmtId="166" fontId="0" fillId="0" borderId="0" xfId="0" applyNumberFormat="1" applyFill="1" applyBorder="1" applyAlignment="1">
      <alignment horizontal="center"/>
    </xf>
    <xf numFmtId="166" fontId="18" fillId="0" borderId="0" xfId="0" applyNumberFormat="1" applyFont="1" applyFill="1" applyBorder="1" applyAlignment="1">
      <alignment horizontal="center"/>
    </xf>
    <xf numFmtId="0" fontId="7" fillId="0" borderId="0" xfId="0" applyFont="1" applyFill="1" applyBorder="1" applyAlignment="1">
      <alignment horizontal="center"/>
    </xf>
    <xf numFmtId="166" fontId="59" fillId="0" borderId="0" xfId="0" applyNumberFormat="1" applyFont="1" applyFill="1" applyBorder="1" applyAlignment="1">
      <alignment horizontal="right"/>
    </xf>
    <xf numFmtId="165" fontId="7" fillId="0" borderId="0" xfId="0" applyNumberFormat="1" applyFont="1" applyFill="1" applyBorder="1" applyAlignment="1" applyProtection="1">
      <alignment horizontal="center"/>
    </xf>
    <xf numFmtId="165" fontId="0" fillId="0" borderId="0" xfId="0" applyNumberFormat="1" applyFill="1" applyBorder="1" applyAlignment="1">
      <alignment horizontal="center"/>
    </xf>
    <xf numFmtId="166" fontId="40" fillId="0" borderId="0" xfId="0" applyNumberFormat="1" applyFont="1" applyFill="1" applyBorder="1" applyAlignment="1">
      <alignment horizontal="center" vertical="center"/>
    </xf>
    <xf numFmtId="2" fontId="0" fillId="0" borderId="0" xfId="0" applyNumberFormat="1" applyFill="1" applyBorder="1" applyAlignment="1">
      <alignment horizontal="center"/>
    </xf>
    <xf numFmtId="0" fontId="0" fillId="0" borderId="0" xfId="0" applyFill="1" applyBorder="1" applyAlignment="1">
      <alignment horizontal="center"/>
    </xf>
    <xf numFmtId="0" fontId="18" fillId="0" borderId="35" xfId="0" applyNumberFormat="1" applyFont="1" applyBorder="1" applyAlignment="1" applyProtection="1"/>
    <xf numFmtId="0" fontId="7" fillId="0" borderId="0" xfId="0" applyFont="1" applyFill="1" applyProtection="1"/>
    <xf numFmtId="0" fontId="0" fillId="0" borderId="0" xfId="0" applyNumberFormat="1" applyFill="1" applyBorder="1" applyAlignment="1" applyProtection="1">
      <alignment horizontal="center"/>
    </xf>
    <xf numFmtId="0" fontId="7"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18" fillId="0" borderId="0" xfId="0" applyFont="1" applyFill="1" applyBorder="1" applyAlignment="1">
      <alignment horizontal="center"/>
    </xf>
    <xf numFmtId="0" fontId="9" fillId="0" borderId="0" xfId="0" applyNumberFormat="1" applyFont="1" applyFill="1" applyBorder="1" applyProtection="1"/>
    <xf numFmtId="0" fontId="57" fillId="0" borderId="0" xfId="0" applyFont="1" applyProtection="1"/>
    <xf numFmtId="173" fontId="0" fillId="4" borderId="15" xfId="2" applyNumberFormat="1" applyFont="1" applyFill="1" applyBorder="1" applyAlignment="1" applyProtection="1">
      <alignment vertical="center"/>
      <protection locked="0"/>
    </xf>
    <xf numFmtId="173" fontId="12" fillId="0" borderId="2" xfId="2" applyNumberFormat="1" applyFont="1" applyBorder="1" applyAlignment="1" applyProtection="1">
      <alignment horizontal="center"/>
    </xf>
    <xf numFmtId="173" fontId="12" fillId="0" borderId="11" xfId="2" applyNumberFormat="1" applyFont="1" applyBorder="1" applyAlignment="1" applyProtection="1">
      <alignment horizontal="center"/>
    </xf>
    <xf numFmtId="174" fontId="12" fillId="0" borderId="11" xfId="2" applyNumberFormat="1" applyFont="1" applyBorder="1" applyAlignment="1" applyProtection="1">
      <alignment horizontal="center"/>
    </xf>
    <xf numFmtId="174" fontId="12" fillId="0" borderId="38" xfId="2" applyNumberFormat="1" applyFont="1" applyBorder="1" applyAlignment="1" applyProtection="1">
      <alignment horizontal="center"/>
    </xf>
    <xf numFmtId="174" fontId="0" fillId="4" borderId="15" xfId="2" applyNumberFormat="1" applyFont="1" applyFill="1" applyBorder="1" applyAlignment="1" applyProtection="1">
      <alignment vertical="center"/>
      <protection locked="0"/>
    </xf>
    <xf numFmtId="174" fontId="0" fillId="10" borderId="15" xfId="2" applyNumberFormat="1" applyFont="1" applyFill="1" applyBorder="1" applyAlignment="1" applyProtection="1">
      <alignment vertical="center"/>
      <protection locked="0"/>
    </xf>
    <xf numFmtId="174" fontId="0" fillId="10" borderId="39" xfId="2" applyNumberFormat="1" applyFont="1" applyFill="1" applyBorder="1" applyAlignment="1" applyProtection="1">
      <alignment vertical="center"/>
      <protection locked="0"/>
    </xf>
    <xf numFmtId="166" fontId="7" fillId="7" borderId="0" xfId="0" applyNumberFormat="1" applyFont="1" applyFill="1" applyBorder="1"/>
    <xf numFmtId="166" fontId="7" fillId="25" borderId="0" xfId="0" applyNumberFormat="1" applyFont="1" applyFill="1" applyBorder="1"/>
    <xf numFmtId="166" fontId="22" fillId="0" borderId="0" xfId="0" applyNumberFormat="1" applyFont="1" applyFill="1" applyBorder="1" applyAlignment="1">
      <alignment horizontal="center"/>
    </xf>
    <xf numFmtId="0" fontId="7" fillId="27" borderId="6" xfId="0" applyNumberFormat="1" applyFont="1" applyFill="1" applyBorder="1" applyAlignment="1" applyProtection="1">
      <alignment horizontal="center"/>
    </xf>
    <xf numFmtId="174" fontId="12" fillId="0" borderId="6" xfId="2" applyNumberFormat="1" applyFont="1" applyBorder="1" applyAlignment="1" applyProtection="1">
      <alignment horizontal="center"/>
    </xf>
    <xf numFmtId="0" fontId="0" fillId="0" borderId="6" xfId="0" applyNumberFormat="1" applyFill="1" applyBorder="1" applyAlignment="1" applyProtection="1">
      <alignment horizontal="center"/>
    </xf>
    <xf numFmtId="174" fontId="7" fillId="4" borderId="56" xfId="2" applyNumberFormat="1" applyFont="1" applyFill="1" applyBorder="1" applyAlignment="1" applyProtection="1">
      <alignment vertical="center"/>
      <protection locked="0"/>
    </xf>
    <xf numFmtId="0" fontId="7" fillId="27" borderId="50" xfId="0" applyFont="1" applyFill="1" applyBorder="1" applyAlignment="1">
      <alignment horizontal="center"/>
    </xf>
    <xf numFmtId="0" fontId="0" fillId="27" borderId="38" xfId="0" applyNumberFormat="1" applyFill="1" applyBorder="1" applyAlignment="1" applyProtection="1">
      <alignment horizontal="center"/>
    </xf>
    <xf numFmtId="173" fontId="12" fillId="0" borderId="38" xfId="2" applyNumberFormat="1" applyFont="1" applyBorder="1" applyAlignment="1" applyProtection="1">
      <alignment horizontal="center"/>
    </xf>
    <xf numFmtId="173" fontId="0" fillId="4" borderId="39" xfId="2" applyNumberFormat="1" applyFont="1" applyFill="1" applyBorder="1" applyAlignment="1" applyProtection="1">
      <alignment vertical="center"/>
      <protection locked="0"/>
    </xf>
    <xf numFmtId="0" fontId="12" fillId="6" borderId="56" xfId="0" applyNumberFormat="1" applyFont="1" applyFill="1" applyBorder="1" applyAlignment="1" applyProtection="1">
      <alignment horizontal="center"/>
      <protection locked="0"/>
    </xf>
    <xf numFmtId="0" fontId="0" fillId="27" borderId="50" xfId="0" applyFill="1" applyBorder="1" applyAlignment="1">
      <alignment horizontal="center"/>
    </xf>
    <xf numFmtId="166" fontId="7" fillId="7" borderId="42" xfId="0" applyNumberFormat="1" applyFont="1" applyFill="1" applyBorder="1"/>
    <xf numFmtId="166" fontId="7" fillId="25" borderId="42" xfId="0" applyNumberFormat="1" applyFont="1" applyFill="1" applyBorder="1"/>
    <xf numFmtId="166" fontId="59" fillId="23" borderId="0" xfId="0" applyNumberFormat="1" applyFont="1" applyFill="1" applyBorder="1" applyAlignment="1">
      <alignment horizontal="left"/>
    </xf>
    <xf numFmtId="166" fontId="59" fillId="8" borderId="0" xfId="0" applyNumberFormat="1" applyFont="1" applyFill="1" applyBorder="1" applyAlignment="1">
      <alignment horizontal="center"/>
    </xf>
    <xf numFmtId="166" fontId="18" fillId="7" borderId="0" xfId="0" applyNumberFormat="1" applyFont="1" applyFill="1" applyBorder="1" applyAlignment="1">
      <alignment horizontal="center"/>
    </xf>
    <xf numFmtId="166" fontId="18" fillId="25" borderId="0" xfId="0" applyNumberFormat="1" applyFont="1" applyFill="1" applyBorder="1" applyAlignment="1">
      <alignment horizontal="center"/>
    </xf>
    <xf numFmtId="0" fontId="0" fillId="7" borderId="0" xfId="0" applyNumberFormat="1" applyFill="1" applyBorder="1" applyProtection="1"/>
    <xf numFmtId="0" fontId="0" fillId="25" borderId="0" xfId="0" applyNumberFormat="1" applyFill="1" applyBorder="1" applyProtection="1"/>
    <xf numFmtId="166" fontId="7" fillId="25" borderId="42" xfId="0" applyNumberFormat="1" applyFont="1" applyFill="1" applyBorder="1" applyAlignment="1">
      <alignment horizontal="left"/>
    </xf>
    <xf numFmtId="166" fontId="0" fillId="16" borderId="0" xfId="0" applyNumberFormat="1" applyFill="1" applyBorder="1" applyAlignment="1">
      <alignment horizontal="left"/>
    </xf>
    <xf numFmtId="166" fontId="0" fillId="16" borderId="0" xfId="0" applyNumberFormat="1" applyFill="1" applyBorder="1" applyAlignment="1"/>
    <xf numFmtId="0" fontId="0" fillId="8" borderId="0" xfId="0" applyNumberFormat="1" applyFill="1" applyBorder="1" applyProtection="1"/>
    <xf numFmtId="166" fontId="59" fillId="16" borderId="0" xfId="0" applyNumberFormat="1" applyFont="1" applyFill="1" applyBorder="1" applyAlignment="1">
      <alignment horizontal="left"/>
    </xf>
    <xf numFmtId="0" fontId="64" fillId="0" borderId="19" xfId="0" applyNumberFormat="1" applyFont="1" applyBorder="1" applyAlignment="1" applyProtection="1">
      <alignment horizontal="center" vertical="center" wrapText="1"/>
    </xf>
    <xf numFmtId="165" fontId="7" fillId="0" borderId="10" xfId="0" applyNumberFormat="1" applyFont="1" applyBorder="1" applyAlignment="1" applyProtection="1">
      <alignment horizontal="center"/>
    </xf>
    <xf numFmtId="165" fontId="7" fillId="0" borderId="60" xfId="0" applyNumberFormat="1" applyFont="1" applyBorder="1" applyAlignment="1" applyProtection="1">
      <alignment horizontal="center"/>
    </xf>
    <xf numFmtId="166" fontId="7" fillId="26" borderId="51" xfId="0" applyNumberFormat="1" applyFont="1" applyFill="1" applyBorder="1" applyAlignment="1">
      <alignment horizontal="center" vertical="center"/>
    </xf>
    <xf numFmtId="166" fontId="7" fillId="24" borderId="44" xfId="0" applyNumberFormat="1" applyFont="1" applyFill="1" applyBorder="1" applyAlignment="1">
      <alignment horizontal="center"/>
    </xf>
    <xf numFmtId="166" fontId="7" fillId="0" borderId="56" xfId="0" applyNumberFormat="1" applyFont="1" applyBorder="1" applyAlignment="1">
      <alignment horizontal="center"/>
    </xf>
    <xf numFmtId="166" fontId="0" fillId="0" borderId="7" xfId="0" applyNumberFormat="1" applyBorder="1" applyAlignment="1">
      <alignment horizontal="center"/>
    </xf>
    <xf numFmtId="166" fontId="7" fillId="0" borderId="56" xfId="0" applyNumberFormat="1" applyFont="1" applyBorder="1" applyAlignment="1">
      <alignment horizontal="left"/>
    </xf>
    <xf numFmtId="166" fontId="0" fillId="0" borderId="64" xfId="0" applyNumberFormat="1" applyBorder="1" applyAlignment="1">
      <alignment horizontal="center"/>
    </xf>
    <xf numFmtId="166" fontId="0" fillId="0" borderId="65" xfId="0" applyNumberFormat="1" applyBorder="1" applyAlignment="1">
      <alignment horizontal="center"/>
    </xf>
    <xf numFmtId="166" fontId="0" fillId="0" borderId="28" xfId="0" applyNumberFormat="1" applyBorder="1" applyAlignment="1">
      <alignment horizontal="center"/>
    </xf>
    <xf numFmtId="166" fontId="0" fillId="0" borderId="34" xfId="0" applyNumberFormat="1" applyBorder="1" applyAlignment="1">
      <alignment horizontal="center"/>
    </xf>
    <xf numFmtId="0" fontId="7" fillId="0" borderId="50" xfId="0" applyFont="1" applyBorder="1" applyAlignment="1">
      <alignment horizontal="center"/>
    </xf>
    <xf numFmtId="0" fontId="0" fillId="26" borderId="31" xfId="0" applyFill="1" applyBorder="1" applyAlignment="1">
      <alignment horizontal="center"/>
    </xf>
    <xf numFmtId="166" fontId="57" fillId="8" borderId="66" xfId="0" applyNumberFormat="1" applyFont="1" applyFill="1" applyBorder="1" applyAlignment="1">
      <alignment horizontal="center"/>
    </xf>
    <xf numFmtId="166" fontId="57" fillId="7" borderId="66" xfId="0" applyNumberFormat="1" applyFont="1" applyFill="1" applyBorder="1" applyAlignment="1">
      <alignment horizontal="center"/>
    </xf>
    <xf numFmtId="166" fontId="57" fillId="23" borderId="66" xfId="0" applyNumberFormat="1" applyFont="1" applyFill="1" applyBorder="1" applyAlignment="1">
      <alignment horizontal="center"/>
    </xf>
    <xf numFmtId="166" fontId="57" fillId="16" borderId="66" xfId="0" applyNumberFormat="1" applyFont="1" applyFill="1" applyBorder="1" applyAlignment="1">
      <alignment horizontal="center"/>
    </xf>
    <xf numFmtId="166" fontId="57" fillId="25" borderId="68" xfId="0" applyNumberFormat="1" applyFont="1" applyFill="1" applyBorder="1" applyAlignment="1">
      <alignment horizontal="center"/>
    </xf>
    <xf numFmtId="166" fontId="7" fillId="0" borderId="11" xfId="0" applyNumberFormat="1" applyFont="1" applyFill="1" applyBorder="1" applyAlignment="1">
      <alignment horizontal="center"/>
    </xf>
    <xf numFmtId="166" fontId="7" fillId="0" borderId="38" xfId="0" applyNumberFormat="1" applyFont="1" applyFill="1" applyBorder="1" applyAlignment="1">
      <alignment horizontal="center"/>
    </xf>
    <xf numFmtId="165" fontId="0" fillId="24" borderId="29" xfId="0" applyNumberFormat="1" applyFill="1" applyBorder="1" applyAlignment="1">
      <alignment horizontal="center"/>
    </xf>
    <xf numFmtId="175" fontId="12" fillId="0" borderId="11" xfId="2" applyNumberFormat="1" applyFont="1" applyBorder="1" applyAlignment="1" applyProtection="1">
      <alignment horizontal="center"/>
    </xf>
    <xf numFmtId="173" fontId="0" fillId="7" borderId="15" xfId="2" applyNumberFormat="1" applyFont="1" applyFill="1" applyBorder="1" applyAlignment="1" applyProtection="1">
      <alignment vertical="center"/>
      <protection locked="0"/>
    </xf>
    <xf numFmtId="176" fontId="12" fillId="0" borderId="11" xfId="2" applyNumberFormat="1" applyFont="1" applyBorder="1" applyAlignment="1" applyProtection="1">
      <alignment horizontal="center"/>
    </xf>
    <xf numFmtId="176" fontId="0" fillId="7" borderId="15" xfId="2" applyNumberFormat="1" applyFont="1" applyFill="1" applyBorder="1" applyAlignment="1" applyProtection="1">
      <alignment vertical="center"/>
      <protection locked="0"/>
    </xf>
    <xf numFmtId="174" fontId="0" fillId="9" borderId="15" xfId="2" applyNumberFormat="1" applyFont="1" applyFill="1" applyBorder="1" applyAlignment="1" applyProtection="1">
      <alignment vertical="center"/>
      <protection locked="0"/>
    </xf>
    <xf numFmtId="0" fontId="44" fillId="28" borderId="0" xfId="0" applyFont="1" applyFill="1" applyProtection="1"/>
    <xf numFmtId="14" fontId="0" fillId="28" borderId="0" xfId="0" applyNumberFormat="1" applyFill="1" applyProtection="1"/>
    <xf numFmtId="0" fontId="0" fillId="28" borderId="0" xfId="0" applyNumberFormat="1" applyFill="1" applyProtection="1"/>
    <xf numFmtId="0" fontId="0" fillId="28" borderId="0" xfId="0" applyNumberFormat="1" applyFill="1" applyBorder="1" applyProtection="1"/>
    <xf numFmtId="0" fontId="47" fillId="28" borderId="0" xfId="0" applyNumberFormat="1" applyFont="1" applyFill="1" applyBorder="1" applyAlignment="1" applyProtection="1">
      <alignment horizontal="center"/>
    </xf>
    <xf numFmtId="0" fontId="18" fillId="28" borderId="0" xfId="0" applyNumberFormat="1" applyFont="1" applyFill="1" applyBorder="1" applyAlignment="1" applyProtection="1"/>
    <xf numFmtId="0" fontId="0" fillId="28" borderId="0" xfId="0" applyFill="1" applyBorder="1" applyAlignment="1"/>
    <xf numFmtId="0" fontId="18" fillId="28" borderId="0" xfId="0" applyNumberFormat="1" applyFont="1" applyFill="1" applyProtection="1"/>
    <xf numFmtId="0" fontId="7" fillId="28" borderId="0" xfId="0" applyNumberFormat="1" applyFont="1" applyFill="1" applyBorder="1" applyAlignment="1" applyProtection="1">
      <alignment horizontal="left"/>
    </xf>
    <xf numFmtId="0" fontId="18" fillId="28" borderId="0" xfId="0" applyNumberFormat="1" applyFont="1" applyFill="1" applyBorder="1" applyProtection="1"/>
    <xf numFmtId="0" fontId="7" fillId="28" borderId="0" xfId="0" applyNumberFormat="1" applyFont="1" applyFill="1" applyBorder="1" applyAlignment="1" applyProtection="1"/>
    <xf numFmtId="0" fontId="18" fillId="28" borderId="47" xfId="0" applyNumberFormat="1" applyFont="1" applyFill="1" applyBorder="1" applyProtection="1"/>
    <xf numFmtId="0" fontId="0" fillId="28" borderId="45" xfId="0" applyNumberFormat="1" applyFill="1" applyBorder="1" applyProtection="1"/>
    <xf numFmtId="0" fontId="0" fillId="28" borderId="40" xfId="0" applyNumberFormat="1" applyFill="1" applyBorder="1" applyProtection="1"/>
    <xf numFmtId="0" fontId="18" fillId="28" borderId="40" xfId="0" applyNumberFormat="1" applyFont="1" applyFill="1" applyBorder="1" applyProtection="1"/>
    <xf numFmtId="0" fontId="21" fillId="28" borderId="41" xfId="0" applyNumberFormat="1" applyFont="1" applyFill="1" applyBorder="1" applyAlignment="1" applyProtection="1">
      <alignment horizontal="center"/>
    </xf>
    <xf numFmtId="0" fontId="47" fillId="28" borderId="0" xfId="0" applyNumberFormat="1" applyFont="1" applyFill="1" applyProtection="1"/>
    <xf numFmtId="0" fontId="0" fillId="28" borderId="0" xfId="0" applyNumberFormat="1" applyFill="1" applyBorder="1" applyAlignment="1" applyProtection="1"/>
    <xf numFmtId="0" fontId="33" fillId="28" borderId="35" xfId="0" applyNumberFormat="1" applyFont="1" applyFill="1" applyBorder="1" applyProtection="1"/>
    <xf numFmtId="0" fontId="0" fillId="28" borderId="46" xfId="0" applyNumberFormat="1" applyFill="1" applyBorder="1" applyProtection="1"/>
    <xf numFmtId="0" fontId="60" fillId="28" borderId="46" xfId="0" applyNumberFormat="1" applyFont="1" applyFill="1" applyBorder="1" applyProtection="1"/>
    <xf numFmtId="0" fontId="0" fillId="28" borderId="41" xfId="0" applyNumberFormat="1" applyFill="1" applyBorder="1" applyProtection="1"/>
    <xf numFmtId="0" fontId="33" fillId="28" borderId="0" xfId="0" applyNumberFormat="1" applyFont="1" applyFill="1" applyBorder="1" applyProtection="1"/>
    <xf numFmtId="0" fontId="24" fillId="28" borderId="0" xfId="0" applyNumberFormat="1" applyFont="1" applyFill="1" applyBorder="1" applyProtection="1"/>
    <xf numFmtId="0" fontId="7" fillId="28" borderId="0" xfId="0" applyNumberFormat="1" applyFont="1" applyFill="1" applyBorder="1" applyAlignment="1" applyProtection="1">
      <alignment vertical="top" wrapText="1"/>
    </xf>
    <xf numFmtId="0" fontId="0" fillId="28" borderId="42" xfId="0" applyNumberFormat="1" applyFill="1" applyBorder="1" applyProtection="1"/>
    <xf numFmtId="0" fontId="0" fillId="28" borderId="8" xfId="0" applyNumberFormat="1" applyFill="1" applyBorder="1" applyProtection="1"/>
    <xf numFmtId="0" fontId="0" fillId="28" borderId="42" xfId="0" applyNumberFormat="1" applyFill="1" applyBorder="1" applyAlignment="1" applyProtection="1">
      <alignment horizontal="center"/>
    </xf>
    <xf numFmtId="0" fontId="12" fillId="28" borderId="0" xfId="0" applyNumberFormat="1" applyFont="1" applyFill="1" applyBorder="1" applyAlignment="1" applyProtection="1">
      <alignment horizontal="left"/>
    </xf>
    <xf numFmtId="0" fontId="7" fillId="28" borderId="0" xfId="0" applyNumberFormat="1" applyFont="1" applyFill="1" applyBorder="1" applyAlignment="1" applyProtection="1">
      <alignment wrapText="1"/>
    </xf>
    <xf numFmtId="0" fontId="0" fillId="28" borderId="42" xfId="0" applyFill="1" applyBorder="1"/>
    <xf numFmtId="0" fontId="0" fillId="28" borderId="0" xfId="0" applyFill="1" applyBorder="1"/>
    <xf numFmtId="166" fontId="7" fillId="28" borderId="0" xfId="0" applyNumberFormat="1" applyFont="1" applyFill="1" applyBorder="1"/>
    <xf numFmtId="0" fontId="0" fillId="28" borderId="8" xfId="0" applyFill="1" applyBorder="1"/>
    <xf numFmtId="0" fontId="0" fillId="28" borderId="0" xfId="0" applyFill="1" applyBorder="1" applyAlignment="1">
      <alignment wrapText="1"/>
    </xf>
    <xf numFmtId="166" fontId="0" fillId="28" borderId="42" xfId="0" applyNumberFormat="1" applyFill="1" applyBorder="1"/>
    <xf numFmtId="166" fontId="0" fillId="28" borderId="0" xfId="0" applyNumberFormat="1" applyFill="1" applyBorder="1"/>
    <xf numFmtId="166" fontId="7" fillId="28" borderId="0" xfId="0" applyNumberFormat="1" applyFont="1" applyFill="1" applyBorder="1" applyAlignment="1">
      <alignment horizontal="left"/>
    </xf>
    <xf numFmtId="166" fontId="0" fillId="28" borderId="0" xfId="0" applyNumberFormat="1" applyFill="1" applyBorder="1" applyAlignment="1">
      <alignment horizontal="left"/>
    </xf>
    <xf numFmtId="166" fontId="0" fillId="28" borderId="0" xfId="0" applyNumberFormat="1" applyFill="1" applyBorder="1" applyAlignment="1"/>
    <xf numFmtId="166" fontId="0" fillId="28" borderId="8" xfId="0" applyNumberFormat="1" applyFill="1" applyBorder="1"/>
    <xf numFmtId="166" fontId="7" fillId="28" borderId="9" xfId="0" applyNumberFormat="1" applyFont="1" applyFill="1" applyBorder="1"/>
    <xf numFmtId="166" fontId="25" fillId="28" borderId="9" xfId="0" applyNumberFormat="1" applyFont="1" applyFill="1" applyBorder="1"/>
    <xf numFmtId="166" fontId="7" fillId="28" borderId="0" xfId="0" applyNumberFormat="1" applyFont="1" applyFill="1" applyBorder="1" applyAlignment="1">
      <alignment horizontal="center"/>
    </xf>
    <xf numFmtId="166" fontId="7" fillId="28" borderId="4" xfId="0" applyNumberFormat="1" applyFont="1" applyFill="1" applyBorder="1"/>
    <xf numFmtId="0" fontId="0" fillId="28" borderId="57" xfId="0" applyNumberFormat="1" applyFill="1" applyBorder="1" applyAlignment="1" applyProtection="1">
      <alignment horizontal="center"/>
    </xf>
    <xf numFmtId="0" fontId="0" fillId="28" borderId="58" xfId="0" applyNumberFormat="1" applyFill="1" applyBorder="1" applyAlignment="1" applyProtection="1">
      <alignment horizontal="center"/>
    </xf>
    <xf numFmtId="0" fontId="0" fillId="28" borderId="58" xfId="0" applyNumberFormat="1" applyFill="1" applyBorder="1" applyProtection="1"/>
    <xf numFmtId="43" fontId="0" fillId="28" borderId="58" xfId="2" applyNumberFormat="1" applyFont="1" applyFill="1" applyBorder="1" applyAlignment="1" applyProtection="1">
      <alignment vertical="center"/>
    </xf>
    <xf numFmtId="0" fontId="0" fillId="28" borderId="59" xfId="0" applyFill="1" applyBorder="1" applyAlignment="1">
      <alignment horizontal="center"/>
    </xf>
    <xf numFmtId="0" fontId="12" fillId="28" borderId="0" xfId="0" applyNumberFormat="1" applyFont="1" applyFill="1" applyBorder="1" applyProtection="1"/>
    <xf numFmtId="0" fontId="0" fillId="28" borderId="13" xfId="0" applyNumberFormat="1" applyFill="1" applyBorder="1" applyAlignment="1" applyProtection="1">
      <alignment horizontal="center"/>
    </xf>
    <xf numFmtId="0" fontId="12" fillId="28" borderId="13" xfId="0" applyNumberFormat="1" applyFont="1" applyFill="1" applyBorder="1" applyAlignment="1" applyProtection="1">
      <alignment horizontal="center"/>
    </xf>
    <xf numFmtId="0" fontId="0" fillId="28" borderId="7" xfId="0" applyNumberFormat="1" applyFill="1" applyBorder="1" applyAlignment="1" applyProtection="1">
      <alignment horizontal="center"/>
    </xf>
    <xf numFmtId="166" fontId="7" fillId="28" borderId="55" xfId="0" applyNumberFormat="1" applyFont="1" applyFill="1" applyBorder="1"/>
    <xf numFmtId="166" fontId="67" fillId="28" borderId="55" xfId="0" applyNumberFormat="1" applyFont="1" applyFill="1" applyBorder="1" applyAlignment="1">
      <alignment horizontal="center" vertical="top"/>
    </xf>
    <xf numFmtId="166" fontId="19" fillId="28" borderId="55" xfId="0" applyNumberFormat="1" applyFont="1" applyFill="1" applyBorder="1"/>
    <xf numFmtId="0" fontId="7" fillId="28" borderId="0" xfId="0" applyNumberFormat="1" applyFont="1" applyFill="1" applyProtection="1"/>
    <xf numFmtId="166" fontId="7" fillId="28" borderId="53" xfId="0" applyNumberFormat="1" applyFont="1" applyFill="1" applyBorder="1"/>
    <xf numFmtId="166" fontId="7" fillId="28" borderId="54" xfId="0" applyNumberFormat="1" applyFont="1" applyFill="1" applyBorder="1"/>
    <xf numFmtId="0" fontId="0" fillId="28" borderId="53" xfId="0" applyNumberFormat="1" applyFill="1" applyBorder="1" applyProtection="1"/>
    <xf numFmtId="166" fontId="40" fillId="28" borderId="0" xfId="0" applyNumberFormat="1" applyFont="1" applyFill="1" applyBorder="1"/>
    <xf numFmtId="166" fontId="7" fillId="28" borderId="8" xfId="0" applyNumberFormat="1" applyFont="1" applyFill="1" applyBorder="1"/>
    <xf numFmtId="0" fontId="0" fillId="28" borderId="4" xfId="0" applyNumberFormat="1" applyFill="1" applyBorder="1" applyProtection="1"/>
    <xf numFmtId="166" fontId="7" fillId="28" borderId="5" xfId="0" applyNumberFormat="1" applyFont="1" applyFill="1" applyBorder="1"/>
    <xf numFmtId="166" fontId="33" fillId="28" borderId="0" xfId="0" applyNumberFormat="1" applyFont="1" applyFill="1" applyBorder="1" applyAlignment="1">
      <alignment horizontal="center" vertical="center"/>
    </xf>
    <xf numFmtId="166" fontId="7" fillId="28" borderId="44" xfId="0" applyNumberFormat="1" applyFont="1" applyFill="1" applyBorder="1"/>
    <xf numFmtId="166" fontId="0" fillId="28" borderId="0" xfId="0" applyNumberFormat="1" applyFill="1" applyBorder="1" applyAlignment="1">
      <alignment horizontal="right"/>
    </xf>
    <xf numFmtId="0" fontId="7" fillId="28" borderId="0" xfId="0" applyNumberFormat="1" applyFont="1" applyFill="1" applyBorder="1" applyAlignment="1" applyProtection="1">
      <alignment horizontal="right"/>
    </xf>
    <xf numFmtId="0" fontId="7" fillId="28" borderId="0" xfId="0" applyNumberFormat="1" applyFont="1" applyFill="1" applyAlignment="1" applyProtection="1">
      <alignment horizontal="left"/>
    </xf>
    <xf numFmtId="166" fontId="57" fillId="28" borderId="28" xfId="0" applyNumberFormat="1" applyFont="1" applyFill="1" applyBorder="1" applyAlignment="1">
      <alignment horizontal="center"/>
    </xf>
    <xf numFmtId="0" fontId="7" fillId="28" borderId="40" xfId="0" applyNumberFormat="1" applyFont="1" applyFill="1" applyBorder="1" applyProtection="1"/>
    <xf numFmtId="166" fontId="57" fillId="28" borderId="67" xfId="0" applyNumberFormat="1" applyFont="1" applyFill="1" applyBorder="1" applyAlignment="1">
      <alignment horizontal="left"/>
    </xf>
    <xf numFmtId="166" fontId="57" fillId="28" borderId="70" xfId="0" applyNumberFormat="1" applyFont="1" applyFill="1" applyBorder="1" applyAlignment="1">
      <alignment horizontal="left"/>
    </xf>
    <xf numFmtId="0" fontId="7" fillId="28" borderId="0" xfId="0" applyFont="1" applyFill="1" applyBorder="1"/>
    <xf numFmtId="166" fontId="57" fillId="28" borderId="30" xfId="0" applyNumberFormat="1" applyFont="1" applyFill="1" applyBorder="1" applyAlignment="1">
      <alignment horizontal="center"/>
    </xf>
    <xf numFmtId="166" fontId="57" fillId="28" borderId="69" xfId="0" applyNumberFormat="1" applyFont="1" applyFill="1" applyBorder="1" applyAlignment="1">
      <alignment horizontal="left"/>
    </xf>
    <xf numFmtId="166" fontId="57" fillId="28" borderId="71" xfId="0" applyNumberFormat="1" applyFont="1" applyFill="1" applyBorder="1" applyAlignment="1">
      <alignment horizontal="left"/>
    </xf>
    <xf numFmtId="0" fontId="12" fillId="28" borderId="0" xfId="0" applyNumberFormat="1" applyFont="1" applyFill="1" applyProtection="1"/>
    <xf numFmtId="0" fontId="12" fillId="28" borderId="0" xfId="0" applyNumberFormat="1" applyFont="1" applyFill="1" applyAlignment="1" applyProtection="1">
      <alignment horizontal="center"/>
    </xf>
    <xf numFmtId="0" fontId="22" fillId="28" borderId="0" xfId="0" applyNumberFormat="1" applyFont="1" applyFill="1" applyBorder="1" applyProtection="1"/>
    <xf numFmtId="0" fontId="0" fillId="28" borderId="40" xfId="0" applyNumberFormat="1" applyFill="1" applyBorder="1" applyAlignment="1" applyProtection="1"/>
    <xf numFmtId="0" fontId="31" fillId="28" borderId="0" xfId="0" applyNumberFormat="1" applyFont="1" applyFill="1" applyBorder="1" applyProtection="1"/>
    <xf numFmtId="0" fontId="0" fillId="28" borderId="43" xfId="0" applyNumberFormat="1" applyFill="1" applyBorder="1" applyProtection="1"/>
    <xf numFmtId="0" fontId="0" fillId="28" borderId="25" xfId="0" applyNumberFormat="1" applyFill="1" applyBorder="1" applyProtection="1"/>
    <xf numFmtId="0" fontId="0" fillId="28" borderId="25" xfId="0" applyFill="1" applyBorder="1"/>
    <xf numFmtId="0" fontId="0" fillId="28" borderId="44" xfId="0" applyNumberFormat="1" applyFill="1" applyBorder="1" applyProtection="1"/>
    <xf numFmtId="0" fontId="7" fillId="28" borderId="0" xfId="0" applyNumberFormat="1" applyFont="1" applyFill="1" applyBorder="1" applyProtection="1"/>
    <xf numFmtId="0" fontId="40" fillId="28" borderId="0" xfId="0" applyNumberFormat="1" applyFont="1" applyFill="1" applyProtection="1"/>
    <xf numFmtId="43" fontId="33" fillId="28" borderId="0" xfId="2" applyFont="1" applyFill="1" applyAlignment="1" applyProtection="1">
      <alignment horizontal="left"/>
    </xf>
    <xf numFmtId="0" fontId="62" fillId="28" borderId="0" xfId="5" applyNumberFormat="1" applyFont="1" applyFill="1" applyProtection="1"/>
    <xf numFmtId="0" fontId="33" fillId="28" borderId="0" xfId="0" applyNumberFormat="1" applyFont="1" applyFill="1" applyProtection="1"/>
    <xf numFmtId="0" fontId="6" fillId="28" borderId="0" xfId="3" applyFill="1" applyProtection="1"/>
    <xf numFmtId="0" fontId="6" fillId="28" borderId="0" xfId="3" applyFill="1" applyBorder="1" applyAlignment="1" applyProtection="1">
      <alignment horizontal="center"/>
    </xf>
    <xf numFmtId="0" fontId="6" fillId="28" borderId="0" xfId="3" applyFill="1" applyAlignment="1" applyProtection="1">
      <alignment horizontal="center"/>
    </xf>
    <xf numFmtId="0" fontId="6" fillId="28" borderId="0" xfId="3" applyFill="1" applyBorder="1" applyProtection="1"/>
    <xf numFmtId="0" fontId="50" fillId="28" borderId="0" xfId="3" applyFont="1" applyFill="1" applyBorder="1" applyAlignment="1" applyProtection="1">
      <alignment horizontal="right"/>
    </xf>
    <xf numFmtId="0" fontId="50" fillId="28" borderId="35" xfId="3" applyFont="1" applyFill="1" applyBorder="1" applyAlignment="1" applyProtection="1">
      <alignment horizontal="right" wrapText="1"/>
    </xf>
    <xf numFmtId="0" fontId="50" fillId="28" borderId="0" xfId="3" applyFont="1" applyFill="1" applyAlignment="1" applyProtection="1">
      <alignment horizontal="right"/>
    </xf>
    <xf numFmtId="0" fontId="50" fillId="28" borderId="0" xfId="3" applyFont="1" applyFill="1" applyAlignment="1" applyProtection="1"/>
    <xf numFmtId="0" fontId="6" fillId="28" borderId="0" xfId="3" applyFill="1" applyAlignment="1" applyProtection="1">
      <alignment horizontal="right"/>
    </xf>
    <xf numFmtId="0" fontId="6" fillId="28" borderId="0" xfId="3" quotePrefix="1" applyFill="1" applyAlignment="1" applyProtection="1"/>
    <xf numFmtId="0" fontId="6" fillId="28" borderId="0" xfId="3" applyFill="1" applyAlignment="1" applyProtection="1"/>
    <xf numFmtId="0" fontId="6" fillId="28" borderId="0" xfId="3" applyFill="1" applyAlignment="1" applyProtection="1">
      <alignment wrapText="1"/>
    </xf>
    <xf numFmtId="0" fontId="3" fillId="28" borderId="0" xfId="3" quotePrefix="1" applyFont="1" applyFill="1" applyProtection="1"/>
    <xf numFmtId="0" fontId="4" fillId="28" borderId="0" xfId="3" applyFont="1" applyFill="1" applyProtection="1"/>
    <xf numFmtId="0" fontId="0" fillId="28" borderId="0" xfId="0" applyFill="1" applyProtection="1"/>
    <xf numFmtId="0" fontId="7" fillId="28" borderId="0" xfId="0" applyFont="1" applyFill="1" applyProtection="1"/>
    <xf numFmtId="0" fontId="31" fillId="28" borderId="0" xfId="0" applyFont="1" applyFill="1" applyBorder="1" applyProtection="1"/>
    <xf numFmtId="0" fontId="42" fillId="28" borderId="0" xfId="0" applyFont="1" applyFill="1" applyBorder="1" applyProtection="1"/>
    <xf numFmtId="0" fontId="12" fillId="28" borderId="0" xfId="0" applyFont="1" applyFill="1" applyBorder="1" applyProtection="1"/>
    <xf numFmtId="0" fontId="12" fillId="28" borderId="11" xfId="0" applyFont="1" applyFill="1" applyBorder="1" applyProtection="1"/>
    <xf numFmtId="0" fontId="34" fillId="28" borderId="0" xfId="0" applyFont="1" applyFill="1" applyProtection="1"/>
    <xf numFmtId="0" fontId="31" fillId="28" borderId="0" xfId="0" applyFont="1" applyFill="1" applyProtection="1"/>
    <xf numFmtId="0" fontId="0" fillId="28" borderId="0" xfId="0" applyFill="1" applyBorder="1" applyProtection="1"/>
    <xf numFmtId="11" fontId="35" fillId="28" borderId="16" xfId="0" applyNumberFormat="1" applyFont="1" applyFill="1" applyBorder="1" applyAlignment="1" applyProtection="1">
      <alignment horizontal="center"/>
    </xf>
    <xf numFmtId="0" fontId="9" fillId="28" borderId="16" xfId="0" applyNumberFormat="1" applyFont="1" applyFill="1" applyBorder="1" applyAlignment="1" applyProtection="1">
      <alignment horizontal="center"/>
    </xf>
    <xf numFmtId="0" fontId="9" fillId="28" borderId="17" xfId="0" applyNumberFormat="1" applyFont="1" applyFill="1" applyBorder="1" applyAlignment="1" applyProtection="1">
      <alignment horizontal="center"/>
    </xf>
    <xf numFmtId="0" fontId="9" fillId="28" borderId="16" xfId="0" applyFont="1" applyFill="1" applyBorder="1" applyAlignment="1" applyProtection="1">
      <alignment horizontal="center"/>
    </xf>
    <xf numFmtId="167" fontId="7" fillId="28" borderId="0" xfId="0" applyNumberFormat="1" applyFont="1" applyFill="1" applyBorder="1" applyAlignment="1" applyProtection="1">
      <alignment horizontal="center"/>
    </xf>
    <xf numFmtId="11" fontId="36" fillId="28" borderId="19" xfId="0" applyNumberFormat="1" applyFont="1" applyFill="1" applyBorder="1" applyAlignment="1" applyProtection="1">
      <alignment horizontal="center"/>
    </xf>
    <xf numFmtId="11" fontId="35" fillId="28" borderId="19" xfId="0" applyNumberFormat="1" applyFont="1" applyFill="1" applyBorder="1" applyAlignment="1" applyProtection="1">
      <alignment horizontal="center"/>
    </xf>
    <xf numFmtId="0" fontId="9" fillId="28" borderId="20" xfId="0" applyNumberFormat="1" applyFont="1" applyFill="1" applyBorder="1" applyAlignment="1" applyProtection="1">
      <alignment horizontal="center"/>
    </xf>
    <xf numFmtId="0" fontId="9" fillId="28" borderId="19" xfId="0" applyFont="1" applyFill="1" applyBorder="1" applyAlignment="1" applyProtection="1">
      <alignment horizontal="center"/>
    </xf>
    <xf numFmtId="0" fontId="27" fillId="28" borderId="10" xfId="0" applyFont="1" applyFill="1" applyBorder="1" applyProtection="1"/>
    <xf numFmtId="11" fontId="27" fillId="28" borderId="11" xfId="0" applyNumberFormat="1" applyFont="1" applyFill="1" applyBorder="1" applyAlignment="1" applyProtection="1">
      <alignment horizontal="center"/>
    </xf>
    <xf numFmtId="3" fontId="27" fillId="28" borderId="11" xfId="0" applyNumberFormat="1" applyFont="1" applyFill="1" applyBorder="1" applyAlignment="1" applyProtection="1">
      <alignment horizontal="center"/>
    </xf>
    <xf numFmtId="0" fontId="27" fillId="28" borderId="11" xfId="0" applyNumberFormat="1" applyFont="1" applyFill="1" applyBorder="1" applyAlignment="1" applyProtection="1">
      <alignment horizontal="center"/>
    </xf>
    <xf numFmtId="2" fontId="27" fillId="28" borderId="11" xfId="0" applyNumberFormat="1" applyFont="1" applyFill="1" applyBorder="1" applyAlignment="1" applyProtection="1">
      <alignment horizontal="center"/>
    </xf>
    <xf numFmtId="0" fontId="27" fillId="28" borderId="11" xfId="0" applyFont="1" applyFill="1" applyBorder="1" applyAlignment="1" applyProtection="1">
      <alignment horizontal="center"/>
    </xf>
    <xf numFmtId="0" fontId="37" fillId="28" borderId="11" xfId="0" applyNumberFormat="1" applyFont="1" applyFill="1" applyBorder="1" applyAlignment="1" applyProtection="1">
      <alignment horizontal="center"/>
    </xf>
    <xf numFmtId="166" fontId="27" fillId="28" borderId="11" xfId="0" applyNumberFormat="1" applyFont="1" applyFill="1" applyBorder="1" applyAlignment="1" applyProtection="1">
      <alignment horizontal="center"/>
    </xf>
    <xf numFmtId="167" fontId="27" fillId="28" borderId="11" xfId="0" applyNumberFormat="1" applyFont="1" applyFill="1" applyBorder="1" applyAlignment="1" applyProtection="1">
      <alignment horizontal="center"/>
    </xf>
    <xf numFmtId="165" fontId="27" fillId="28" borderId="11" xfId="0" applyNumberFormat="1" applyFont="1" applyFill="1" applyBorder="1" applyAlignment="1" applyProtection="1">
      <alignment horizontal="center"/>
    </xf>
    <xf numFmtId="0" fontId="27" fillId="28" borderId="11" xfId="0" applyFont="1" applyFill="1" applyBorder="1" applyProtection="1"/>
    <xf numFmtId="0" fontId="37" fillId="28" borderId="10" xfId="0" applyFont="1" applyFill="1" applyBorder="1" applyProtection="1"/>
    <xf numFmtId="165" fontId="37" fillId="28" borderId="11" xfId="0" applyNumberFormat="1" applyFont="1" applyFill="1" applyBorder="1" applyAlignment="1" applyProtection="1">
      <alignment horizontal="center"/>
    </xf>
    <xf numFmtId="2" fontId="37" fillId="28" borderId="11" xfId="0" applyNumberFormat="1" applyFont="1" applyFill="1" applyBorder="1" applyAlignment="1" applyProtection="1">
      <alignment horizontal="center"/>
    </xf>
    <xf numFmtId="166" fontId="37" fillId="28" borderId="11" xfId="0" applyNumberFormat="1" applyFont="1" applyFill="1" applyBorder="1" applyAlignment="1" applyProtection="1">
      <alignment horizontal="center"/>
    </xf>
    <xf numFmtId="168" fontId="37" fillId="28" borderId="10" xfId="0" applyNumberFormat="1" applyFont="1" applyFill="1" applyBorder="1" applyProtection="1"/>
    <xf numFmtId="11" fontId="37" fillId="28" borderId="11" xfId="0" applyNumberFormat="1" applyFont="1" applyFill="1" applyBorder="1" applyAlignment="1" applyProtection="1">
      <alignment horizontal="center"/>
    </xf>
    <xf numFmtId="168" fontId="37" fillId="28" borderId="11" xfId="0" applyNumberFormat="1" applyFont="1" applyFill="1" applyBorder="1" applyProtection="1"/>
    <xf numFmtId="0" fontId="37" fillId="28" borderId="11" xfId="0" applyFont="1" applyFill="1" applyBorder="1" applyProtection="1"/>
    <xf numFmtId="0" fontId="37" fillId="28" borderId="11" xfId="0" applyFont="1" applyFill="1" applyBorder="1" applyAlignment="1" applyProtection="1">
      <alignment horizontal="center"/>
    </xf>
    <xf numFmtId="0" fontId="30" fillId="28" borderId="10" xfId="0" applyFont="1" applyFill="1" applyBorder="1" applyProtection="1"/>
    <xf numFmtId="167" fontId="37" fillId="28" borderId="11" xfId="0" applyNumberFormat="1" applyFont="1" applyFill="1" applyBorder="1" applyAlignment="1" applyProtection="1">
      <alignment horizontal="center"/>
    </xf>
    <xf numFmtId="0" fontId="37" fillId="28" borderId="7" xfId="0" applyFont="1" applyFill="1" applyBorder="1" applyProtection="1"/>
    <xf numFmtId="11" fontId="27" fillId="28" borderId="6" xfId="0" applyNumberFormat="1" applyFont="1" applyFill="1" applyBorder="1" applyAlignment="1" applyProtection="1">
      <alignment horizontal="center"/>
    </xf>
    <xf numFmtId="0" fontId="37" fillId="28" borderId="6" xfId="0" applyNumberFormat="1" applyFont="1" applyFill="1" applyBorder="1" applyAlignment="1" applyProtection="1">
      <alignment horizontal="center"/>
    </xf>
    <xf numFmtId="167" fontId="27" fillId="28" borderId="6" xfId="0" applyNumberFormat="1" applyFont="1" applyFill="1" applyBorder="1" applyAlignment="1" applyProtection="1">
      <alignment horizontal="center"/>
    </xf>
    <xf numFmtId="0" fontId="27" fillId="28" borderId="7" xfId="0" applyFont="1" applyFill="1" applyBorder="1" applyProtection="1"/>
    <xf numFmtId="0" fontId="27" fillId="28" borderId="6" xfId="0" applyFont="1" applyFill="1" applyBorder="1" applyAlignment="1" applyProtection="1">
      <alignment horizontal="center"/>
    </xf>
    <xf numFmtId="0" fontId="27" fillId="28" borderId="6" xfId="0" applyNumberFormat="1" applyFont="1" applyFill="1" applyBorder="1" applyAlignment="1" applyProtection="1">
      <alignment horizontal="center"/>
    </xf>
    <xf numFmtId="2" fontId="27" fillId="28" borderId="6" xfId="0" applyNumberFormat="1" applyFont="1" applyFill="1" applyBorder="1" applyAlignment="1" applyProtection="1">
      <alignment horizontal="center"/>
    </xf>
    <xf numFmtId="166" fontId="27" fillId="28" borderId="6" xfId="0" applyNumberFormat="1" applyFont="1" applyFill="1" applyBorder="1" applyAlignment="1" applyProtection="1">
      <alignment horizontal="center"/>
    </xf>
    <xf numFmtId="166" fontId="37" fillId="28" borderId="6" xfId="0" applyNumberFormat="1" applyFont="1" applyFill="1" applyBorder="1" applyAlignment="1" applyProtection="1">
      <alignment horizontal="center"/>
    </xf>
    <xf numFmtId="0" fontId="15" fillId="28" borderId="11" xfId="0" applyFont="1" applyFill="1" applyBorder="1" applyProtection="1"/>
    <xf numFmtId="0" fontId="39" fillId="28" borderId="0" xfId="1" applyFont="1" applyFill="1" applyAlignment="1" applyProtection="1"/>
    <xf numFmtId="11" fontId="15" fillId="28" borderId="21" xfId="0" applyNumberFormat="1" applyFont="1" applyFill="1" applyBorder="1" applyAlignment="1" applyProtection="1">
      <alignment horizontal="center"/>
    </xf>
    <xf numFmtId="0" fontId="15" fillId="28" borderId="21" xfId="0" applyFont="1" applyFill="1" applyBorder="1" applyAlignment="1" applyProtection="1">
      <alignment horizontal="center"/>
    </xf>
    <xf numFmtId="0" fontId="15" fillId="28" borderId="21" xfId="0" applyNumberFormat="1" applyFont="1" applyFill="1" applyBorder="1" applyAlignment="1" applyProtection="1">
      <alignment horizontal="center"/>
    </xf>
    <xf numFmtId="3" fontId="15" fillId="28" borderId="21" xfId="0" applyNumberFormat="1" applyFont="1" applyFill="1" applyBorder="1" applyAlignment="1" applyProtection="1">
      <alignment horizontal="center"/>
    </xf>
    <xf numFmtId="0" fontId="15" fillId="28" borderId="0" xfId="0" applyFont="1" applyFill="1" applyProtection="1"/>
    <xf numFmtId="0" fontId="29" fillId="28" borderId="0" xfId="0" applyFont="1" applyFill="1" applyBorder="1" applyProtection="1"/>
    <xf numFmtId="0" fontId="27" fillId="28" borderId="0" xfId="0" applyFont="1" applyFill="1" applyAlignment="1" applyProtection="1">
      <alignment horizontal="center"/>
    </xf>
    <xf numFmtId="0" fontId="27" fillId="28" borderId="0" xfId="0" applyNumberFormat="1" applyFont="1" applyFill="1" applyAlignment="1" applyProtection="1">
      <alignment horizontal="center"/>
    </xf>
    <xf numFmtId="0" fontId="27" fillId="28" borderId="0" xfId="0" applyFont="1" applyFill="1" applyProtection="1"/>
    <xf numFmtId="0" fontId="27" fillId="28" borderId="0" xfId="0" applyNumberFormat="1" applyFont="1" applyFill="1" applyProtection="1"/>
    <xf numFmtId="0" fontId="29" fillId="28" borderId="0" xfId="0" applyFont="1" applyFill="1" applyProtection="1"/>
    <xf numFmtId="0" fontId="33" fillId="28" borderId="0" xfId="0" applyFont="1" applyFill="1" applyProtection="1"/>
    <xf numFmtId="0" fontId="9" fillId="28" borderId="11" xfId="0" applyFont="1" applyFill="1" applyBorder="1" applyProtection="1"/>
    <xf numFmtId="0" fontId="32" fillId="28" borderId="11" xfId="0" applyFont="1" applyFill="1" applyBorder="1" applyProtection="1"/>
    <xf numFmtId="2" fontId="0" fillId="28" borderId="11" xfId="0" applyNumberFormat="1" applyFill="1" applyBorder="1" applyAlignment="1" applyProtection="1">
      <alignment horizontal="center"/>
    </xf>
    <xf numFmtId="0" fontId="0" fillId="28" borderId="15" xfId="0" applyFill="1" applyBorder="1" applyAlignment="1" applyProtection="1">
      <alignment horizontal="center"/>
    </xf>
    <xf numFmtId="1" fontId="0" fillId="28" borderId="11" xfId="0" applyNumberFormat="1" applyFill="1" applyBorder="1" applyAlignment="1" applyProtection="1">
      <alignment horizontal="center"/>
    </xf>
    <xf numFmtId="166" fontId="0" fillId="28" borderId="11" xfId="0" applyNumberFormat="1" applyFill="1" applyBorder="1" applyAlignment="1" applyProtection="1">
      <alignment horizontal="center"/>
    </xf>
    <xf numFmtId="2" fontId="0" fillId="28" borderId="15" xfId="0" applyNumberFormat="1" applyFill="1" applyBorder="1" applyAlignment="1" applyProtection="1">
      <alignment horizontal="center"/>
    </xf>
    <xf numFmtId="1" fontId="7" fillId="28" borderId="11" xfId="0" applyNumberFormat="1" applyFont="1" applyFill="1" applyBorder="1" applyAlignment="1" applyProtection="1">
      <alignment horizontal="center"/>
    </xf>
    <xf numFmtId="0" fontId="9" fillId="28" borderId="1" xfId="0" applyFont="1" applyFill="1" applyBorder="1" applyProtection="1"/>
    <xf numFmtId="0" fontId="9" fillId="28" borderId="6" xfId="0" applyFont="1" applyFill="1" applyBorder="1" applyProtection="1"/>
    <xf numFmtId="0" fontId="52" fillId="28" borderId="0" xfId="3" applyFont="1" applyFill="1" applyAlignment="1" applyProtection="1">
      <alignment vertical="center"/>
    </xf>
    <xf numFmtId="3" fontId="6" fillId="28" borderId="27" xfId="3" applyNumberFormat="1" applyFill="1" applyBorder="1" applyAlignment="1" applyProtection="1">
      <alignment horizontal="center"/>
    </xf>
    <xf numFmtId="3" fontId="6" fillId="28" borderId="29" xfId="3" applyNumberFormat="1" applyFill="1" applyBorder="1" applyAlignment="1" applyProtection="1">
      <alignment horizontal="center"/>
    </xf>
    <xf numFmtId="3" fontId="6" fillId="28" borderId="29" xfId="3" applyNumberFormat="1" applyFont="1" applyFill="1" applyBorder="1" applyAlignment="1" applyProtection="1">
      <alignment horizontal="center"/>
    </xf>
    <xf numFmtId="3" fontId="6" fillId="28" borderId="31" xfId="3" applyNumberFormat="1" applyFill="1" applyBorder="1" applyAlignment="1" applyProtection="1">
      <alignment horizontal="center"/>
    </xf>
    <xf numFmtId="0" fontId="0" fillId="0" borderId="28" xfId="0" applyNumberFormat="1" applyBorder="1" applyAlignment="1" applyProtection="1">
      <alignment horizontal="center"/>
    </xf>
    <xf numFmtId="0" fontId="0" fillId="27" borderId="28" xfId="0" applyNumberFormat="1" applyFill="1" applyBorder="1" applyAlignment="1" applyProtection="1">
      <alignment horizontal="center"/>
    </xf>
    <xf numFmtId="0" fontId="0" fillId="0" borderId="28" xfId="0" applyNumberFormat="1" applyFill="1" applyBorder="1" applyAlignment="1" applyProtection="1">
      <alignment horizontal="center"/>
    </xf>
    <xf numFmtId="0" fontId="7" fillId="0" borderId="28" xfId="0" applyNumberFormat="1" applyFont="1" applyFill="1" applyBorder="1" applyAlignment="1" applyProtection="1">
      <alignment horizontal="center"/>
    </xf>
    <xf numFmtId="0" fontId="0" fillId="0" borderId="28" xfId="0" applyNumberFormat="1" applyFont="1" applyFill="1" applyBorder="1" applyAlignment="1" applyProtection="1">
      <alignment horizontal="center"/>
    </xf>
    <xf numFmtId="0" fontId="7" fillId="0" borderId="30" xfId="0" applyNumberFormat="1" applyFont="1" applyFill="1" applyBorder="1" applyAlignment="1" applyProtection="1">
      <alignment horizontal="center"/>
    </xf>
    <xf numFmtId="0" fontId="18" fillId="28" borderId="0" xfId="0" applyNumberFormat="1" applyFont="1" applyFill="1" applyAlignment="1" applyProtection="1">
      <alignment vertical="center"/>
    </xf>
    <xf numFmtId="0" fontId="7" fillId="28" borderId="74" xfId="0" applyNumberFormat="1" applyFont="1" applyFill="1" applyBorder="1" applyAlignment="1" applyProtection="1">
      <alignment horizontal="left" vertical="center"/>
    </xf>
    <xf numFmtId="0" fontId="0" fillId="28" borderId="74" xfId="0" applyNumberFormat="1" applyFill="1" applyBorder="1" applyProtection="1"/>
    <xf numFmtId="0" fontId="0" fillId="28" borderId="73" xfId="0" applyNumberFormat="1" applyFill="1" applyBorder="1" applyProtection="1"/>
    <xf numFmtId="0" fontId="57" fillId="28" borderId="74" xfId="0" applyNumberFormat="1" applyFont="1" applyFill="1" applyBorder="1" applyProtection="1"/>
    <xf numFmtId="0" fontId="57" fillId="28" borderId="73" xfId="0" applyNumberFormat="1" applyFont="1" applyFill="1" applyBorder="1" applyProtection="1"/>
    <xf numFmtId="0" fontId="0" fillId="28" borderId="74" xfId="0" applyNumberFormat="1" applyFill="1" applyBorder="1" applyAlignment="1" applyProtection="1">
      <alignment horizontal="left" vertical="center"/>
    </xf>
    <xf numFmtId="0" fontId="7" fillId="28" borderId="74" xfId="0" applyNumberFormat="1" applyFont="1" applyFill="1" applyBorder="1" applyProtection="1"/>
    <xf numFmtId="0" fontId="9" fillId="28" borderId="73" xfId="0" applyNumberFormat="1" applyFont="1" applyFill="1" applyBorder="1" applyProtection="1"/>
    <xf numFmtId="0" fontId="9" fillId="28" borderId="74" xfId="0" applyNumberFormat="1" applyFont="1" applyFill="1" applyBorder="1" applyProtection="1"/>
    <xf numFmtId="0" fontId="20" fillId="28" borderId="74" xfId="0" applyNumberFormat="1" applyFont="1" applyFill="1" applyBorder="1" applyProtection="1"/>
    <xf numFmtId="0" fontId="7" fillId="28" borderId="73" xfId="0" applyNumberFormat="1" applyFont="1" applyFill="1" applyBorder="1" applyProtection="1"/>
    <xf numFmtId="0" fontId="0" fillId="28" borderId="75" xfId="0" applyNumberFormat="1" applyFill="1" applyBorder="1" applyAlignment="1" applyProtection="1">
      <alignment horizontal="left" vertical="center"/>
    </xf>
    <xf numFmtId="0" fontId="0" fillId="28" borderId="75" xfId="0" applyNumberFormat="1" applyFill="1" applyBorder="1" applyProtection="1"/>
    <xf numFmtId="0" fontId="0" fillId="28" borderId="76" xfId="0" applyNumberFormat="1" applyFill="1" applyBorder="1" applyProtection="1"/>
    <xf numFmtId="0" fontId="12" fillId="28" borderId="77" xfId="0" applyFont="1" applyFill="1" applyBorder="1" applyProtection="1"/>
    <xf numFmtId="0" fontId="41" fillId="28" borderId="78" xfId="0" applyFont="1" applyFill="1" applyBorder="1" applyProtection="1"/>
    <xf numFmtId="0" fontId="0" fillId="28" borderId="78" xfId="0" applyFill="1" applyBorder="1" applyProtection="1"/>
    <xf numFmtId="0" fontId="34" fillId="28" borderId="78" xfId="0" applyFont="1" applyFill="1" applyBorder="1" applyProtection="1"/>
    <xf numFmtId="43" fontId="33" fillId="28" borderId="78" xfId="2" applyFont="1" applyFill="1" applyBorder="1" applyProtection="1">
      <protection locked="0"/>
    </xf>
    <xf numFmtId="0" fontId="22" fillId="28" borderId="78" xfId="0" applyFont="1" applyFill="1" applyBorder="1" applyProtection="1"/>
    <xf numFmtId="43" fontId="33" fillId="28" borderId="78" xfId="2" applyNumberFormat="1" applyFont="1" applyFill="1" applyBorder="1" applyProtection="1">
      <protection locked="0"/>
    </xf>
    <xf numFmtId="0" fontId="43" fillId="28" borderId="78" xfId="0" applyFont="1" applyFill="1" applyBorder="1" applyProtection="1"/>
    <xf numFmtId="43" fontId="33" fillId="28" borderId="78" xfId="2" applyFont="1" applyFill="1" applyBorder="1" applyProtection="1"/>
    <xf numFmtId="0" fontId="7" fillId="28" borderId="74" xfId="0" applyFont="1" applyFill="1" applyBorder="1" applyProtection="1"/>
    <xf numFmtId="0" fontId="0" fillId="28" borderId="74" xfId="0" applyFill="1" applyBorder="1" applyProtection="1"/>
    <xf numFmtId="0" fontId="0" fillId="28" borderId="79" xfId="0" applyFill="1" applyBorder="1" applyProtection="1"/>
    <xf numFmtId="0" fontId="75" fillId="28" borderId="0" xfId="0" applyFont="1" applyFill="1" applyBorder="1" applyAlignment="1" applyProtection="1">
      <alignment horizontal="center"/>
    </xf>
    <xf numFmtId="0" fontId="31" fillId="6" borderId="0" xfId="0" applyFont="1" applyFill="1" applyBorder="1" applyAlignment="1" applyProtection="1">
      <alignment horizontal="center"/>
      <protection locked="0"/>
    </xf>
    <xf numFmtId="2" fontId="7" fillId="28" borderId="11" xfId="0" applyNumberFormat="1" applyFont="1" applyFill="1" applyBorder="1" applyAlignment="1" applyProtection="1">
      <alignment horizontal="center"/>
    </xf>
    <xf numFmtId="0" fontId="73" fillId="28" borderId="0" xfId="0" applyFont="1" applyFill="1" applyAlignment="1" applyProtection="1">
      <alignment horizontal="justify" vertical="center"/>
    </xf>
    <xf numFmtId="0" fontId="71" fillId="28" borderId="0" xfId="0" applyFont="1" applyFill="1" applyAlignment="1" applyProtection="1">
      <alignment horizontal="justify" vertical="center"/>
    </xf>
    <xf numFmtId="0" fontId="70" fillId="28" borderId="0" xfId="0" applyFont="1" applyFill="1" applyAlignment="1" applyProtection="1">
      <alignment horizontal="justify" vertical="center"/>
    </xf>
    <xf numFmtId="0" fontId="74" fillId="28" borderId="0" xfId="0" applyFont="1" applyFill="1" applyAlignment="1" applyProtection="1">
      <alignment horizontal="justify" vertical="center"/>
    </xf>
    <xf numFmtId="0" fontId="63" fillId="28" borderId="0" xfId="0" applyFont="1" applyFill="1" applyAlignment="1" applyProtection="1">
      <alignment horizontal="center"/>
    </xf>
    <xf numFmtId="0" fontId="63" fillId="28" borderId="0" xfId="0" applyFont="1" applyFill="1" applyAlignment="1" applyProtection="1">
      <alignment horizontal="right"/>
    </xf>
    <xf numFmtId="0" fontId="23" fillId="28" borderId="0" xfId="0" applyFont="1" applyFill="1" applyProtection="1"/>
    <xf numFmtId="0" fontId="63" fillId="28" borderId="0" xfId="0" applyFont="1" applyFill="1" applyProtection="1"/>
    <xf numFmtId="0" fontId="18" fillId="28" borderId="0" xfId="0" applyFont="1" applyFill="1" applyProtection="1"/>
    <xf numFmtId="0" fontId="9" fillId="28" borderId="0" xfId="0" applyFont="1" applyFill="1" applyProtection="1"/>
    <xf numFmtId="0" fontId="23" fillId="28" borderId="0" xfId="0" applyFont="1" applyFill="1" applyAlignment="1" applyProtection="1">
      <alignment wrapText="1"/>
    </xf>
    <xf numFmtId="0" fontId="18" fillId="28" borderId="0" xfId="0" applyFont="1" applyFill="1" applyAlignment="1" applyProtection="1">
      <alignment wrapText="1"/>
    </xf>
    <xf numFmtId="0" fontId="45" fillId="28" borderId="0" xfId="0" applyFont="1" applyFill="1" applyAlignment="1" applyProtection="1">
      <alignment horizontal="center"/>
    </xf>
    <xf numFmtId="0" fontId="45" fillId="28" borderId="0" xfId="0" applyFont="1" applyFill="1" applyProtection="1"/>
    <xf numFmtId="0" fontId="44" fillId="28" borderId="0" xfId="0" applyFont="1" applyFill="1" applyAlignment="1" applyProtection="1">
      <alignment horizontal="left" indent="4"/>
    </xf>
    <xf numFmtId="0" fontId="46" fillId="28" borderId="0" xfId="0" applyFont="1" applyFill="1" applyProtection="1"/>
    <xf numFmtId="0" fontId="44" fillId="28" borderId="0" xfId="0" applyFont="1" applyFill="1" applyAlignment="1" applyProtection="1">
      <alignment horizontal="left" indent="1"/>
    </xf>
    <xf numFmtId="0" fontId="76" fillId="28" borderId="12" xfId="0" applyFont="1" applyFill="1" applyBorder="1" applyAlignment="1" applyProtection="1">
      <alignment horizontal="center" vertical="center"/>
    </xf>
    <xf numFmtId="0" fontId="76" fillId="28" borderId="12" xfId="0" applyFont="1" applyFill="1" applyBorder="1" applyAlignment="1" applyProtection="1">
      <alignment vertical="center"/>
    </xf>
    <xf numFmtId="2" fontId="76" fillId="28" borderId="12" xfId="0" applyNumberFormat="1" applyFont="1" applyFill="1" applyBorder="1" applyAlignment="1" applyProtection="1">
      <alignment horizontal="center" vertical="center"/>
    </xf>
    <xf numFmtId="165" fontId="76" fillId="28" borderId="12" xfId="0" applyNumberFormat="1" applyFont="1" applyFill="1" applyBorder="1" applyAlignment="1" applyProtection="1">
      <alignment horizontal="center" vertical="center"/>
    </xf>
    <xf numFmtId="0" fontId="76" fillId="28" borderId="12" xfId="0" applyFont="1" applyFill="1" applyBorder="1" applyProtection="1"/>
    <xf numFmtId="49" fontId="76" fillId="28" borderId="12" xfId="0" quotePrefix="1" applyNumberFormat="1" applyFont="1" applyFill="1" applyBorder="1" applyProtection="1"/>
    <xf numFmtId="165" fontId="76" fillId="28" borderId="12" xfId="0" applyNumberFormat="1" applyFont="1" applyFill="1" applyBorder="1" applyAlignment="1" applyProtection="1">
      <alignment horizontal="center"/>
    </xf>
    <xf numFmtId="2" fontId="76" fillId="28" borderId="12" xfId="0" applyNumberFormat="1" applyFont="1" applyFill="1" applyBorder="1" applyAlignment="1" applyProtection="1">
      <alignment horizontal="center"/>
    </xf>
    <xf numFmtId="2" fontId="76" fillId="28" borderId="12" xfId="0" applyNumberFormat="1" applyFont="1" applyFill="1" applyBorder="1" applyProtection="1"/>
    <xf numFmtId="0" fontId="76" fillId="28" borderId="12" xfId="0" applyFont="1" applyFill="1" applyBorder="1" applyAlignment="1" applyProtection="1">
      <alignment horizontal="center"/>
    </xf>
    <xf numFmtId="49" fontId="76" fillId="28" borderId="12" xfId="0" quotePrefix="1" applyNumberFormat="1" applyFont="1" applyFill="1" applyBorder="1" applyAlignment="1" applyProtection="1">
      <alignment horizontal="left"/>
    </xf>
    <xf numFmtId="167" fontId="35" fillId="28" borderId="80" xfId="0" applyNumberFormat="1" applyFont="1" applyFill="1" applyBorder="1" applyAlignment="1" applyProtection="1"/>
    <xf numFmtId="167" fontId="35" fillId="28" borderId="57" xfId="0" applyNumberFormat="1" applyFont="1" applyFill="1" applyBorder="1" applyAlignment="1" applyProtection="1"/>
    <xf numFmtId="0" fontId="15" fillId="3" borderId="6" xfId="0" applyFont="1" applyFill="1" applyBorder="1" applyAlignment="1" applyProtection="1">
      <alignment horizontal="center"/>
    </xf>
    <xf numFmtId="0" fontId="15" fillId="3" borderId="13" xfId="0" applyFont="1" applyFill="1" applyBorder="1" applyAlignment="1" applyProtection="1">
      <alignment horizontal="center"/>
    </xf>
    <xf numFmtId="0" fontId="15" fillId="3" borderId="13" xfId="0" applyFont="1" applyFill="1" applyBorder="1" applyProtection="1"/>
    <xf numFmtId="0" fontId="0" fillId="3" borderId="81" xfId="0" applyFill="1" applyBorder="1" applyAlignment="1" applyProtection="1">
      <alignment horizontal="center"/>
    </xf>
    <xf numFmtId="0" fontId="0" fillId="3" borderId="7" xfId="0" applyFill="1" applyBorder="1" applyAlignment="1" applyProtection="1">
      <alignment horizontal="center"/>
    </xf>
    <xf numFmtId="0" fontId="9" fillId="3" borderId="1" xfId="0" applyFont="1" applyFill="1" applyBorder="1" applyProtection="1"/>
    <xf numFmtId="0" fontId="9" fillId="3" borderId="6" xfId="0" applyFont="1" applyFill="1" applyBorder="1" applyProtection="1"/>
    <xf numFmtId="0" fontId="79" fillId="28" borderId="0" xfId="0" applyFont="1" applyFill="1" applyProtection="1"/>
    <xf numFmtId="0" fontId="44" fillId="28" borderId="0" xfId="0" applyFont="1" applyFill="1" applyProtection="1"/>
    <xf numFmtId="0" fontId="52" fillId="0" borderId="25" xfId="3" applyFont="1" applyBorder="1" applyAlignment="1" applyProtection="1">
      <alignment horizontal="center" vertical="center" wrapText="1"/>
    </xf>
    <xf numFmtId="0" fontId="52" fillId="0" borderId="25" xfId="3" applyFont="1" applyBorder="1" applyAlignment="1" applyProtection="1">
      <alignment horizontal="center" vertical="center"/>
    </xf>
    <xf numFmtId="0" fontId="6" fillId="28" borderId="0" xfId="3" applyFill="1" applyAlignment="1" applyProtection="1">
      <alignment horizontal="left" wrapText="1"/>
    </xf>
    <xf numFmtId="0" fontId="47" fillId="28" borderId="0" xfId="0" applyNumberFormat="1" applyFont="1" applyFill="1" applyBorder="1" applyAlignment="1" applyProtection="1">
      <alignment horizontal="center"/>
    </xf>
    <xf numFmtId="166" fontId="18" fillId="0" borderId="0" xfId="0" applyNumberFormat="1" applyFont="1" applyFill="1" applyBorder="1" applyAlignment="1"/>
    <xf numFmtId="0" fontId="0" fillId="0" borderId="0" xfId="0" applyFill="1" applyBorder="1" applyAlignment="1"/>
    <xf numFmtId="0" fontId="40" fillId="28" borderId="0" xfId="0" applyNumberFormat="1" applyFont="1" applyFill="1" applyAlignment="1" applyProtection="1">
      <alignment horizontal="right"/>
    </xf>
    <xf numFmtId="0" fontId="0" fillId="28" borderId="0" xfId="0" applyFill="1" applyAlignment="1">
      <alignment horizontal="right"/>
    </xf>
    <xf numFmtId="0" fontId="7" fillId="7" borderId="42" xfId="0" applyNumberFormat="1" applyFont="1" applyFill="1" applyBorder="1" applyAlignment="1" applyProtection="1">
      <alignment horizontal="left" vertical="center" wrapText="1"/>
    </xf>
    <xf numFmtId="0" fontId="7" fillId="7" borderId="0" xfId="0" applyNumberFormat="1" applyFont="1" applyFill="1" applyBorder="1" applyAlignment="1" applyProtection="1">
      <alignment horizontal="left" vertical="center" wrapText="1"/>
    </xf>
    <xf numFmtId="0" fontId="7" fillId="7" borderId="8" xfId="0" applyNumberFormat="1" applyFont="1" applyFill="1" applyBorder="1" applyAlignment="1" applyProtection="1">
      <alignment horizontal="left" vertical="center" wrapText="1"/>
    </xf>
    <xf numFmtId="0" fontId="7" fillId="27" borderId="42" xfId="0" applyNumberFormat="1" applyFont="1" applyFill="1" applyBorder="1" applyAlignment="1" applyProtection="1">
      <alignment horizontal="left" vertical="center"/>
    </xf>
    <xf numFmtId="0" fontId="7" fillId="27" borderId="0" xfId="0" applyNumberFormat="1" applyFont="1" applyFill="1" applyBorder="1" applyAlignment="1" applyProtection="1">
      <alignment horizontal="left" vertical="center"/>
    </xf>
    <xf numFmtId="0" fontId="7" fillId="27" borderId="8" xfId="0" applyNumberFormat="1" applyFont="1" applyFill="1" applyBorder="1" applyAlignment="1" applyProtection="1">
      <alignment horizontal="left" vertical="center"/>
    </xf>
    <xf numFmtId="0" fontId="0" fillId="8" borderId="42" xfId="0" applyNumberFormat="1" applyFill="1" applyBorder="1" applyAlignment="1" applyProtection="1">
      <alignment horizontal="left" vertical="center"/>
    </xf>
    <xf numFmtId="0" fontId="0" fillId="8" borderId="0" xfId="0" applyNumberFormat="1" applyFill="1" applyBorder="1" applyAlignment="1" applyProtection="1">
      <alignment horizontal="left" vertical="center"/>
    </xf>
    <xf numFmtId="0" fontId="0" fillId="8" borderId="8" xfId="0" applyNumberFormat="1" applyFill="1" applyBorder="1" applyAlignment="1" applyProtection="1">
      <alignment horizontal="left" vertical="center"/>
    </xf>
    <xf numFmtId="0" fontId="7" fillId="9" borderId="42" xfId="0" applyNumberFormat="1" applyFont="1" applyFill="1" applyBorder="1" applyAlignment="1" applyProtection="1">
      <alignment horizontal="left" vertical="center" wrapText="1"/>
    </xf>
    <xf numFmtId="0" fontId="7" fillId="9" borderId="0" xfId="0" applyNumberFormat="1" applyFont="1" applyFill="1" applyBorder="1" applyAlignment="1" applyProtection="1">
      <alignment horizontal="left" vertical="center" wrapText="1"/>
    </xf>
    <xf numFmtId="0" fontId="7" fillId="9" borderId="8" xfId="0" applyNumberFormat="1" applyFont="1" applyFill="1" applyBorder="1" applyAlignment="1" applyProtection="1">
      <alignment horizontal="left" vertical="center" wrapText="1"/>
    </xf>
    <xf numFmtId="166" fontId="57" fillId="0" borderId="36" xfId="0" applyNumberFormat="1" applyFont="1" applyBorder="1" applyAlignment="1">
      <alignment horizontal="center"/>
    </xf>
    <xf numFmtId="166" fontId="57" fillId="0" borderId="60" xfId="0" applyNumberFormat="1" applyFont="1" applyBorder="1" applyAlignment="1">
      <alignment horizontal="center"/>
    </xf>
    <xf numFmtId="166" fontId="57" fillId="0" borderId="33" xfId="0" applyNumberFormat="1" applyFont="1" applyFill="1" applyBorder="1" applyAlignment="1">
      <alignment horizontal="center"/>
    </xf>
    <xf numFmtId="166" fontId="57" fillId="0" borderId="10" xfId="0" applyNumberFormat="1" applyFont="1" applyFill="1" applyBorder="1" applyAlignment="1">
      <alignment horizontal="center"/>
    </xf>
    <xf numFmtId="166" fontId="57" fillId="28" borderId="15" xfId="0" applyNumberFormat="1" applyFont="1" applyFill="1" applyBorder="1" applyAlignment="1">
      <alignment horizontal="center"/>
    </xf>
    <xf numFmtId="166" fontId="57" fillId="28" borderId="10" xfId="0" applyNumberFormat="1" applyFont="1" applyFill="1" applyBorder="1" applyAlignment="1">
      <alignment horizontal="center"/>
    </xf>
    <xf numFmtId="166" fontId="57" fillId="0" borderId="15" xfId="0" applyNumberFormat="1" applyFont="1" applyBorder="1" applyAlignment="1">
      <alignment horizontal="center"/>
    </xf>
    <xf numFmtId="166" fontId="57" fillId="0" borderId="34" xfId="0" applyNumberFormat="1" applyFont="1" applyBorder="1" applyAlignment="1">
      <alignment horizontal="center"/>
    </xf>
    <xf numFmtId="166" fontId="18" fillId="0" borderId="61" xfId="0" applyNumberFormat="1" applyFont="1" applyBorder="1" applyAlignment="1">
      <alignment horizontal="center"/>
    </xf>
    <xf numFmtId="166" fontId="18" fillId="0" borderId="62" xfId="0" applyNumberFormat="1" applyFont="1" applyBorder="1" applyAlignment="1">
      <alignment horizontal="center"/>
    </xf>
    <xf numFmtId="166" fontId="18" fillId="0" borderId="63" xfId="0" applyNumberFormat="1" applyFont="1" applyBorder="1" applyAlignment="1">
      <alignment horizontal="center"/>
    </xf>
    <xf numFmtId="0" fontId="57" fillId="0" borderId="72" xfId="0" applyFont="1" applyBorder="1" applyAlignment="1">
      <alignment horizontal="center"/>
    </xf>
    <xf numFmtId="0" fontId="57" fillId="0" borderId="24" xfId="0" applyFont="1" applyBorder="1" applyAlignment="1">
      <alignment horizontal="center"/>
    </xf>
    <xf numFmtId="166" fontId="59" fillId="0" borderId="61" xfId="0" applyNumberFormat="1" applyFont="1" applyBorder="1" applyAlignment="1">
      <alignment horizontal="center"/>
    </xf>
    <xf numFmtId="166" fontId="59" fillId="0" borderId="62" xfId="0" applyNumberFormat="1" applyFont="1" applyBorder="1" applyAlignment="1">
      <alignment horizontal="center"/>
    </xf>
    <xf numFmtId="166" fontId="59" fillId="0" borderId="63" xfId="0" applyNumberFormat="1" applyFont="1" applyBorder="1" applyAlignment="1">
      <alignment horizontal="center"/>
    </xf>
    <xf numFmtId="0" fontId="40" fillId="27" borderId="0" xfId="0" applyNumberFormat="1" applyFont="1" applyFill="1" applyAlignment="1" applyProtection="1">
      <alignment horizontal="right"/>
    </xf>
    <xf numFmtId="0" fontId="0" fillId="27" borderId="0" xfId="0" applyFill="1" applyAlignment="1">
      <alignment horizontal="right"/>
    </xf>
    <xf numFmtId="4" fontId="6" fillId="17" borderId="31" xfId="3" applyNumberFormat="1" applyFill="1" applyBorder="1" applyAlignment="1" applyProtection="1">
      <alignment horizontal="center"/>
    </xf>
    <xf numFmtId="0" fontId="4" fillId="28" borderId="0" xfId="3" applyFont="1" applyFill="1" applyAlignment="1" applyProtection="1">
      <alignment horizontal="left" wrapText="1"/>
    </xf>
    <xf numFmtId="4" fontId="6" fillId="18" borderId="28" xfId="3" applyNumberFormat="1" applyFont="1" applyFill="1" applyBorder="1" applyAlignment="1" applyProtection="1">
      <alignment horizontal="center"/>
    </xf>
    <xf numFmtId="4" fontId="6" fillId="18" borderId="29" xfId="3" applyNumberFormat="1" applyFont="1" applyFill="1" applyBorder="1" applyAlignment="1" applyProtection="1">
      <alignment horizontal="center"/>
    </xf>
    <xf numFmtId="4" fontId="6" fillId="19" borderId="30" xfId="3" applyNumberFormat="1" applyFill="1" applyBorder="1" applyAlignment="1" applyProtection="1">
      <alignment horizontal="center"/>
    </xf>
    <xf numFmtId="0" fontId="2" fillId="28" borderId="0" xfId="3" quotePrefix="1" applyFont="1" applyFill="1" applyAlignment="1" applyProtection="1">
      <alignment horizontal="left" vertical="center" wrapText="1"/>
    </xf>
    <xf numFmtId="0" fontId="3" fillId="28" borderId="0" xfId="3" quotePrefix="1" applyFont="1" applyFill="1" applyAlignment="1" applyProtection="1">
      <alignment horizontal="left" vertical="center" wrapText="1"/>
    </xf>
    <xf numFmtId="39" fontId="0" fillId="0" borderId="28" xfId="4" applyNumberFormat="1" applyFont="1" applyFill="1" applyBorder="1" applyAlignment="1" applyProtection="1">
      <alignment horizontal="center" vertical="center"/>
    </xf>
    <xf numFmtId="39" fontId="0" fillId="0" borderId="29" xfId="4" applyNumberFormat="1" applyFont="1" applyFill="1" applyBorder="1" applyAlignment="1" applyProtection="1">
      <alignment horizontal="center" vertical="center"/>
    </xf>
    <xf numFmtId="37" fontId="0" fillId="0" borderId="29" xfId="4" applyNumberFormat="1" applyFont="1" applyFill="1" applyBorder="1" applyAlignment="1" applyProtection="1">
      <alignment horizontal="center" vertical="center"/>
    </xf>
    <xf numFmtId="170" fontId="0" fillId="0" borderId="29" xfId="4" applyNumberFormat="1" applyFont="1" applyFill="1" applyBorder="1" applyAlignment="1" applyProtection="1">
      <alignment horizontal="center" vertical="center"/>
    </xf>
    <xf numFmtId="171" fontId="0" fillId="0" borderId="28" xfId="4" applyNumberFormat="1" applyFont="1" applyFill="1" applyBorder="1" applyAlignment="1" applyProtection="1">
      <alignment horizontal="center" vertical="center"/>
    </xf>
    <xf numFmtId="171" fontId="0" fillId="0" borderId="29" xfId="4" applyNumberFormat="1" applyFont="1" applyFill="1" applyBorder="1" applyAlignment="1" applyProtection="1">
      <alignment horizontal="center" vertical="center"/>
    </xf>
    <xf numFmtId="170" fontId="0" fillId="0" borderId="28" xfId="4" applyNumberFormat="1" applyFont="1" applyFill="1" applyBorder="1" applyAlignment="1" applyProtection="1">
      <alignment horizontal="center" vertical="center"/>
    </xf>
    <xf numFmtId="0" fontId="6" fillId="28" borderId="0" xfId="3" applyFill="1" applyBorder="1" applyAlignment="1" applyProtection="1">
      <alignment horizontal="center"/>
    </xf>
    <xf numFmtId="171" fontId="0" fillId="0" borderId="33" xfId="4" applyNumberFormat="1" applyFont="1" applyFill="1" applyBorder="1" applyAlignment="1" applyProtection="1">
      <alignment horizontal="center" vertical="center"/>
    </xf>
    <xf numFmtId="171" fontId="0" fillId="0" borderId="34" xfId="4" applyNumberFormat="1" applyFont="1" applyFill="1" applyBorder="1" applyAlignment="1" applyProtection="1">
      <alignment horizontal="center" vertical="center"/>
    </xf>
    <xf numFmtId="4" fontId="6" fillId="11" borderId="30" xfId="3" applyNumberFormat="1" applyFill="1" applyBorder="1" applyAlignment="1" applyProtection="1">
      <alignment horizontal="center"/>
    </xf>
    <xf numFmtId="4" fontId="6" fillId="11" borderId="31" xfId="3" applyNumberFormat="1" applyFill="1" applyBorder="1" applyAlignment="1" applyProtection="1">
      <alignment horizontal="center"/>
    </xf>
    <xf numFmtId="4" fontId="6" fillId="22" borderId="28" xfId="3" applyNumberFormat="1" applyFill="1" applyBorder="1" applyAlignment="1" applyProtection="1">
      <alignment horizontal="center"/>
    </xf>
    <xf numFmtId="4" fontId="6" fillId="22" borderId="29" xfId="3" applyNumberFormat="1" applyFill="1" applyBorder="1" applyAlignment="1" applyProtection="1">
      <alignment horizontal="center"/>
    </xf>
    <xf numFmtId="4" fontId="6" fillId="13" borderId="28" xfId="3" applyNumberFormat="1" applyFont="1" applyFill="1" applyBorder="1" applyAlignment="1" applyProtection="1">
      <alignment horizontal="center"/>
    </xf>
    <xf numFmtId="4" fontId="6" fillId="13" borderId="29" xfId="3" applyNumberFormat="1" applyFont="1" applyFill="1" applyBorder="1" applyAlignment="1" applyProtection="1">
      <alignment horizontal="center"/>
    </xf>
    <xf numFmtId="4" fontId="6" fillId="14" borderId="36" xfId="3" applyNumberFormat="1" applyFill="1" applyBorder="1" applyAlignment="1" applyProtection="1">
      <alignment horizontal="center"/>
    </xf>
    <xf numFmtId="4" fontId="6" fillId="14" borderId="37" xfId="3" applyNumberFormat="1" applyFill="1" applyBorder="1" applyAlignment="1" applyProtection="1">
      <alignment horizontal="center"/>
    </xf>
    <xf numFmtId="4" fontId="6" fillId="15" borderId="30" xfId="3" applyNumberFormat="1" applyFill="1" applyBorder="1" applyAlignment="1" applyProtection="1">
      <alignment horizontal="center"/>
    </xf>
    <xf numFmtId="4" fontId="6" fillId="16" borderId="37" xfId="3" applyNumberFormat="1" applyFont="1" applyFill="1" applyBorder="1" applyAlignment="1" applyProtection="1">
      <alignment horizontal="center"/>
    </xf>
    <xf numFmtId="4" fontId="51" fillId="21" borderId="33" xfId="3" applyNumberFormat="1" applyFont="1" applyFill="1" applyBorder="1" applyAlignment="1" applyProtection="1">
      <alignment horizontal="center"/>
    </xf>
    <xf numFmtId="4" fontId="51" fillId="21" borderId="34" xfId="3" applyNumberFormat="1" applyFont="1" applyFill="1" applyBorder="1" applyAlignment="1" applyProtection="1">
      <alignment horizontal="center"/>
    </xf>
    <xf numFmtId="170" fontId="0" fillId="0" borderId="33" xfId="4" applyNumberFormat="1" applyFont="1" applyFill="1" applyBorder="1" applyAlignment="1" applyProtection="1">
      <alignment horizontal="center" vertical="center"/>
    </xf>
    <xf numFmtId="170" fontId="0" fillId="0" borderId="34" xfId="4" applyNumberFormat="1" applyFont="1" applyFill="1" applyBorder="1" applyAlignment="1" applyProtection="1">
      <alignment horizontal="center" vertical="center"/>
    </xf>
    <xf numFmtId="39" fontId="0" fillId="0" borderId="15" xfId="4" applyNumberFormat="1" applyFont="1" applyFill="1" applyBorder="1" applyAlignment="1" applyProtection="1">
      <alignment horizontal="center" vertical="center"/>
    </xf>
    <xf numFmtId="39" fontId="0" fillId="0" borderId="34" xfId="4" applyNumberFormat="1" applyFont="1" applyFill="1" applyBorder="1" applyAlignment="1" applyProtection="1">
      <alignment horizontal="center" vertical="center"/>
    </xf>
    <xf numFmtId="0" fontId="52" fillId="0" borderId="0" xfId="3" applyFont="1" applyAlignment="1" applyProtection="1">
      <alignment horizontal="center" vertical="center"/>
    </xf>
    <xf numFmtId="37" fontId="0" fillId="0" borderId="33" xfId="4" applyNumberFormat="1" applyFont="1" applyFill="1" applyBorder="1" applyAlignment="1" applyProtection="1">
      <alignment horizontal="center" vertical="center"/>
    </xf>
    <xf numFmtId="37" fontId="0" fillId="0" borderId="34" xfId="4" applyNumberFormat="1" applyFont="1" applyFill="1" applyBorder="1" applyAlignment="1" applyProtection="1">
      <alignment horizontal="center" vertical="center"/>
    </xf>
    <xf numFmtId="39" fontId="0" fillId="0" borderId="33" xfId="4" applyNumberFormat="1" applyFont="1" applyFill="1" applyBorder="1" applyAlignment="1" applyProtection="1">
      <alignment horizontal="center" vertical="center"/>
    </xf>
    <xf numFmtId="0" fontId="40" fillId="28" borderId="13" xfId="0" quotePrefix="1" applyFont="1" applyFill="1" applyBorder="1" applyAlignment="1" applyProtection="1">
      <alignment horizontal="center"/>
    </xf>
    <xf numFmtId="0" fontId="0" fillId="28" borderId="13" xfId="0" applyFill="1" applyBorder="1" applyAlignment="1" applyProtection="1">
      <alignment horizontal="center"/>
    </xf>
    <xf numFmtId="0" fontId="27" fillId="28" borderId="0" xfId="0" applyFont="1" applyFill="1" applyAlignment="1" applyProtection="1">
      <alignment vertical="center" wrapText="1"/>
    </xf>
    <xf numFmtId="167" fontId="9" fillId="28" borderId="22" xfId="0" applyNumberFormat="1" applyFont="1" applyFill="1" applyBorder="1" applyAlignment="1" applyProtection="1">
      <alignment horizontal="center"/>
    </xf>
    <xf numFmtId="0" fontId="0" fillId="28" borderId="23" xfId="0" applyFill="1" applyBorder="1" applyAlignment="1" applyProtection="1">
      <alignment horizontal="center"/>
    </xf>
    <xf numFmtId="0" fontId="0" fillId="28" borderId="24" xfId="0" applyFill="1" applyBorder="1" applyAlignment="1" applyProtection="1">
      <alignment horizontal="center"/>
    </xf>
    <xf numFmtId="0" fontId="27" fillId="28" borderId="0" xfId="0" applyFont="1" applyFill="1" applyBorder="1" applyAlignment="1" applyProtection="1">
      <alignment vertical="top" wrapText="1"/>
    </xf>
    <xf numFmtId="0" fontId="27" fillId="28" borderId="0" xfId="0" applyFont="1" applyFill="1" applyAlignment="1" applyProtection="1">
      <alignment vertical="top" wrapText="1"/>
    </xf>
    <xf numFmtId="4" fontId="6" fillId="29" borderId="28" xfId="3" applyNumberFormat="1" applyFont="1" applyFill="1" applyBorder="1" applyAlignment="1" applyProtection="1">
      <alignment horizontal="center"/>
    </xf>
    <xf numFmtId="4" fontId="6" fillId="29" borderId="29" xfId="3" applyNumberFormat="1" applyFont="1" applyFill="1" applyBorder="1" applyAlignment="1" applyProtection="1">
      <alignment horizontal="center"/>
    </xf>
    <xf numFmtId="170" fontId="0" fillId="0" borderId="51" xfId="4" applyNumberFormat="1" applyFont="1" applyFill="1" applyBorder="1" applyAlignment="1" applyProtection="1">
      <alignment horizontal="center" vertical="center"/>
    </xf>
    <xf numFmtId="170" fontId="0" fillId="0" borderId="51" xfId="4" applyNumberFormat="1" applyFont="1" applyFill="1" applyBorder="1" applyAlignment="1" applyProtection="1">
      <alignment horizontal="center" vertical="center"/>
      <protection locked="0"/>
    </xf>
    <xf numFmtId="165" fontId="6" fillId="0" borderId="28" xfId="3" applyNumberFormat="1" applyFill="1" applyBorder="1" applyAlignment="1" applyProtection="1">
      <alignment horizontal="center"/>
      <protection locked="0"/>
    </xf>
    <xf numFmtId="165" fontId="6" fillId="0" borderId="11" xfId="3" applyNumberFormat="1" applyFill="1" applyBorder="1" applyAlignment="1" applyProtection="1">
      <alignment horizontal="center"/>
      <protection locked="0"/>
    </xf>
    <xf numFmtId="0" fontId="50" fillId="16" borderId="82" xfId="3" applyFont="1" applyFill="1" applyBorder="1" applyAlignment="1" applyProtection="1">
      <alignment horizontal="center" wrapText="1"/>
    </xf>
    <xf numFmtId="39" fontId="0" fillId="0" borderId="83" xfId="4" applyNumberFormat="1" applyFont="1" applyFill="1" applyBorder="1" applyAlignment="1" applyProtection="1">
      <alignment horizontal="center" vertical="center"/>
    </xf>
    <xf numFmtId="4" fontId="6" fillId="16" borderId="84" xfId="3" applyNumberFormat="1" applyFont="1" applyFill="1" applyBorder="1" applyAlignment="1" applyProtection="1">
      <alignment horizontal="center"/>
    </xf>
    <xf numFmtId="0" fontId="50" fillId="15" borderId="27" xfId="3" applyFont="1" applyFill="1" applyBorder="1" applyAlignment="1" applyProtection="1">
      <alignment horizontal="center" wrapText="1"/>
    </xf>
    <xf numFmtId="4" fontId="6" fillId="15" borderId="31" xfId="3" applyNumberFormat="1" applyFill="1" applyBorder="1" applyAlignment="1" applyProtection="1">
      <alignment horizontal="center"/>
    </xf>
    <xf numFmtId="0" fontId="50" fillId="20" borderId="82" xfId="3" applyFont="1" applyFill="1" applyBorder="1" applyAlignment="1" applyProtection="1">
      <alignment horizontal="center" wrapText="1"/>
    </xf>
    <xf numFmtId="39" fontId="0" fillId="0" borderId="10" xfId="4" applyNumberFormat="1" applyFont="1" applyFill="1" applyBorder="1" applyAlignment="1" applyProtection="1">
      <alignment horizontal="center" vertical="center"/>
    </xf>
    <xf numFmtId="4" fontId="6" fillId="20" borderId="60" xfId="3" applyNumberFormat="1" applyFont="1" applyFill="1" applyBorder="1" applyAlignment="1" applyProtection="1">
      <alignment horizontal="center"/>
    </xf>
    <xf numFmtId="0" fontId="50" fillId="19" borderId="27" xfId="3" applyFont="1" applyFill="1" applyBorder="1" applyAlignment="1" applyProtection="1">
      <alignment horizontal="center" wrapText="1"/>
    </xf>
    <xf numFmtId="4" fontId="6" fillId="19" borderId="31" xfId="3" applyNumberFormat="1" applyFill="1" applyBorder="1" applyAlignment="1" applyProtection="1">
      <alignment horizontal="center"/>
    </xf>
    <xf numFmtId="0" fontId="50" fillId="20" borderId="85" xfId="3" applyFont="1" applyFill="1" applyBorder="1" applyAlignment="1" applyProtection="1">
      <alignment horizontal="center" wrapText="1"/>
    </xf>
    <xf numFmtId="4" fontId="6" fillId="20" borderId="39" xfId="3" applyNumberFormat="1" applyFont="1" applyFill="1" applyBorder="1" applyAlignment="1" applyProtection="1">
      <alignment horizontal="center"/>
    </xf>
    <xf numFmtId="0" fontId="50" fillId="17" borderId="82" xfId="3" applyFont="1" applyFill="1" applyBorder="1" applyAlignment="1" applyProtection="1">
      <alignment horizontal="center" wrapText="1"/>
      <protection locked="0"/>
    </xf>
    <xf numFmtId="165" fontId="6" fillId="0" borderId="10" xfId="3" applyNumberFormat="1" applyFill="1" applyBorder="1" applyAlignment="1" applyProtection="1">
      <alignment horizontal="center"/>
      <protection locked="0"/>
    </xf>
    <xf numFmtId="37" fontId="0" fillId="0" borderId="10" xfId="4" applyNumberFormat="1" applyFont="1" applyFill="1" applyBorder="1" applyAlignment="1" applyProtection="1">
      <alignment horizontal="center" vertical="center"/>
    </xf>
    <xf numFmtId="170" fontId="0" fillId="0" borderId="34" xfId="4" applyNumberFormat="1" applyFont="1" applyFill="1" applyBorder="1" applyAlignment="1" applyProtection="1">
      <alignment horizontal="center" vertical="center"/>
      <protection locked="0"/>
    </xf>
    <xf numFmtId="4" fontId="6" fillId="17" borderId="60" xfId="3" applyNumberFormat="1" applyFill="1" applyBorder="1" applyAlignment="1" applyProtection="1">
      <alignment horizontal="center"/>
    </xf>
    <xf numFmtId="0" fontId="50" fillId="29" borderId="26" xfId="3" applyFont="1" applyFill="1" applyBorder="1" applyAlignment="1" applyProtection="1">
      <alignment horizontal="center" wrapText="1"/>
    </xf>
    <xf numFmtId="0" fontId="50" fillId="29" borderId="27" xfId="3" applyFont="1" applyFill="1" applyBorder="1" applyAlignment="1" applyProtection="1">
      <alignment horizontal="center" wrapText="1"/>
    </xf>
    <xf numFmtId="0" fontId="50" fillId="17" borderId="82" xfId="3" applyFont="1" applyFill="1" applyBorder="1" applyAlignment="1" applyProtection="1">
      <alignment horizontal="center" wrapText="1"/>
    </xf>
    <xf numFmtId="170" fontId="0" fillId="0" borderId="10" xfId="4" applyNumberFormat="1" applyFont="1" applyFill="1" applyBorder="1" applyAlignment="1" applyProtection="1">
      <alignment horizontal="center" vertical="center"/>
    </xf>
    <xf numFmtId="0" fontId="50" fillId="16" borderId="26" xfId="3" applyFont="1" applyFill="1" applyBorder="1" applyAlignment="1" applyProtection="1">
      <alignment horizontal="center" wrapText="1"/>
    </xf>
    <xf numFmtId="0" fontId="50" fillId="16" borderId="27" xfId="3" applyFont="1" applyFill="1" applyBorder="1" applyAlignment="1" applyProtection="1">
      <alignment horizontal="center" wrapText="1"/>
    </xf>
    <xf numFmtId="4" fontId="6" fillId="16" borderId="30" xfId="3" applyNumberFormat="1" applyFont="1" applyFill="1" applyBorder="1" applyAlignment="1" applyProtection="1">
      <alignment horizontal="center"/>
    </xf>
    <xf numFmtId="4" fontId="6" fillId="16" borderId="31" xfId="3" applyNumberFormat="1" applyFont="1" applyFill="1" applyBorder="1" applyAlignment="1" applyProtection="1">
      <alignment horizontal="center"/>
    </xf>
    <xf numFmtId="165" fontId="5" fillId="0" borderId="29" xfId="3" applyNumberFormat="1" applyFont="1" applyFill="1" applyBorder="1" applyAlignment="1" applyProtection="1">
      <alignment horizontal="center"/>
      <protection locked="0"/>
    </xf>
    <xf numFmtId="165" fontId="6" fillId="0" borderId="15" xfId="3" applyNumberFormat="1" applyFill="1" applyBorder="1" applyAlignment="1" applyProtection="1">
      <alignment horizontal="center"/>
      <protection locked="0"/>
    </xf>
    <xf numFmtId="170" fontId="7" fillId="0" borderId="51" xfId="4" applyNumberFormat="1" applyFont="1" applyFill="1" applyBorder="1" applyAlignment="1" applyProtection="1">
      <alignment horizontal="center" vertical="center"/>
      <protection locked="0"/>
    </xf>
  </cellXfs>
  <cellStyles count="6">
    <cellStyle name="Comma" xfId="2" builtinId="3"/>
    <cellStyle name="Comma 2" xfId="4" xr:uid="{00000000-0005-0000-0000-000001000000}"/>
    <cellStyle name="Hyperlink" xfId="1" builtinId="8"/>
    <cellStyle name="Normal" xfId="0" builtinId="0"/>
    <cellStyle name="Normal 2" xfId="3" xr:uid="{00000000-0005-0000-0000-000004000000}"/>
    <cellStyle name="Warning Text" xfId="5" builtinId="11"/>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4A8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C/Co versus time (d)</a:t>
            </a:r>
          </a:p>
        </c:rich>
      </c:tx>
      <c:layout>
        <c:manualLayout>
          <c:xMode val="edge"/>
          <c:yMode val="edge"/>
          <c:x val="0.33874281941937784"/>
          <c:y val="3.6423841059602648E-2"/>
        </c:manualLayout>
      </c:layout>
      <c:overlay val="0"/>
      <c:spPr>
        <a:noFill/>
        <a:ln w="25400">
          <a:noFill/>
        </a:ln>
      </c:spPr>
    </c:title>
    <c:autoTitleDeleted val="0"/>
    <c:plotArea>
      <c:layout>
        <c:manualLayout>
          <c:layoutTarget val="inner"/>
          <c:xMode val="edge"/>
          <c:yMode val="edge"/>
          <c:x val="0.16006989333236279"/>
          <c:y val="0.14778011081948089"/>
          <c:w val="0.82661979419681209"/>
          <c:h val="0.51986754966887416"/>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IntercalsJury1!$B$117:$B$317</c:f>
              <c:numCache>
                <c:formatCode>General</c:formatCode>
                <c:ptCount val="20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pt idx="100">
                  <c:v>1010</c:v>
                </c:pt>
                <c:pt idx="101">
                  <c:v>1020</c:v>
                </c:pt>
                <c:pt idx="102">
                  <c:v>1030</c:v>
                </c:pt>
                <c:pt idx="103">
                  <c:v>1040</c:v>
                </c:pt>
                <c:pt idx="104">
                  <c:v>1050</c:v>
                </c:pt>
                <c:pt idx="105">
                  <c:v>1060</c:v>
                </c:pt>
                <c:pt idx="106">
                  <c:v>1070</c:v>
                </c:pt>
                <c:pt idx="107">
                  <c:v>1080</c:v>
                </c:pt>
                <c:pt idx="108">
                  <c:v>1090</c:v>
                </c:pt>
                <c:pt idx="109">
                  <c:v>1100</c:v>
                </c:pt>
                <c:pt idx="110">
                  <c:v>1110</c:v>
                </c:pt>
                <c:pt idx="111">
                  <c:v>1120</c:v>
                </c:pt>
                <c:pt idx="112">
                  <c:v>1130</c:v>
                </c:pt>
                <c:pt idx="113">
                  <c:v>1140</c:v>
                </c:pt>
                <c:pt idx="114">
                  <c:v>1150</c:v>
                </c:pt>
                <c:pt idx="115">
                  <c:v>1160</c:v>
                </c:pt>
                <c:pt idx="116">
                  <c:v>1170</c:v>
                </c:pt>
                <c:pt idx="117">
                  <c:v>1180</c:v>
                </c:pt>
                <c:pt idx="118">
                  <c:v>1190</c:v>
                </c:pt>
                <c:pt idx="119">
                  <c:v>1200</c:v>
                </c:pt>
                <c:pt idx="120">
                  <c:v>1210</c:v>
                </c:pt>
                <c:pt idx="121">
                  <c:v>1220</c:v>
                </c:pt>
                <c:pt idx="122">
                  <c:v>1230</c:v>
                </c:pt>
                <c:pt idx="123">
                  <c:v>1240</c:v>
                </c:pt>
                <c:pt idx="124">
                  <c:v>1250</c:v>
                </c:pt>
                <c:pt idx="125">
                  <c:v>1260</c:v>
                </c:pt>
                <c:pt idx="126">
                  <c:v>1270</c:v>
                </c:pt>
                <c:pt idx="127">
                  <c:v>1280</c:v>
                </c:pt>
                <c:pt idx="128">
                  <c:v>1290</c:v>
                </c:pt>
                <c:pt idx="129">
                  <c:v>1300</c:v>
                </c:pt>
                <c:pt idx="130">
                  <c:v>1310</c:v>
                </c:pt>
                <c:pt idx="131">
                  <c:v>1320</c:v>
                </c:pt>
                <c:pt idx="132">
                  <c:v>1330</c:v>
                </c:pt>
                <c:pt idx="133">
                  <c:v>1340</c:v>
                </c:pt>
                <c:pt idx="134">
                  <c:v>1350</c:v>
                </c:pt>
                <c:pt idx="135">
                  <c:v>1360</c:v>
                </c:pt>
                <c:pt idx="136">
                  <c:v>1370</c:v>
                </c:pt>
                <c:pt idx="137">
                  <c:v>1380</c:v>
                </c:pt>
                <c:pt idx="138">
                  <c:v>1390</c:v>
                </c:pt>
                <c:pt idx="139">
                  <c:v>1400</c:v>
                </c:pt>
                <c:pt idx="140">
                  <c:v>1410</c:v>
                </c:pt>
                <c:pt idx="141">
                  <c:v>1420</c:v>
                </c:pt>
                <c:pt idx="142">
                  <c:v>1430</c:v>
                </c:pt>
                <c:pt idx="143">
                  <c:v>1440</c:v>
                </c:pt>
                <c:pt idx="144">
                  <c:v>1450</c:v>
                </c:pt>
                <c:pt idx="145">
                  <c:v>1460</c:v>
                </c:pt>
                <c:pt idx="146">
                  <c:v>1470</c:v>
                </c:pt>
                <c:pt idx="147">
                  <c:v>1480</c:v>
                </c:pt>
                <c:pt idx="148">
                  <c:v>1490</c:v>
                </c:pt>
                <c:pt idx="149">
                  <c:v>1500</c:v>
                </c:pt>
                <c:pt idx="150">
                  <c:v>1510</c:v>
                </c:pt>
                <c:pt idx="151">
                  <c:v>1520</c:v>
                </c:pt>
                <c:pt idx="152">
                  <c:v>1530</c:v>
                </c:pt>
                <c:pt idx="153">
                  <c:v>1540</c:v>
                </c:pt>
                <c:pt idx="154">
                  <c:v>1550</c:v>
                </c:pt>
                <c:pt idx="155">
                  <c:v>1560</c:v>
                </c:pt>
                <c:pt idx="156">
                  <c:v>1570</c:v>
                </c:pt>
                <c:pt idx="157">
                  <c:v>1580</c:v>
                </c:pt>
                <c:pt idx="158">
                  <c:v>1590</c:v>
                </c:pt>
                <c:pt idx="159">
                  <c:v>1600</c:v>
                </c:pt>
                <c:pt idx="160">
                  <c:v>1610</c:v>
                </c:pt>
                <c:pt idx="161">
                  <c:v>1620</c:v>
                </c:pt>
                <c:pt idx="162">
                  <c:v>1630</c:v>
                </c:pt>
                <c:pt idx="163">
                  <c:v>1640</c:v>
                </c:pt>
                <c:pt idx="164">
                  <c:v>1650</c:v>
                </c:pt>
                <c:pt idx="165">
                  <c:v>1660</c:v>
                </c:pt>
                <c:pt idx="166">
                  <c:v>1670</c:v>
                </c:pt>
                <c:pt idx="167">
                  <c:v>1680</c:v>
                </c:pt>
                <c:pt idx="168">
                  <c:v>1690</c:v>
                </c:pt>
                <c:pt idx="169">
                  <c:v>1700</c:v>
                </c:pt>
                <c:pt idx="170">
                  <c:v>1710</c:v>
                </c:pt>
                <c:pt idx="171">
                  <c:v>1720</c:v>
                </c:pt>
                <c:pt idx="172">
                  <c:v>1730</c:v>
                </c:pt>
                <c:pt idx="173">
                  <c:v>1740</c:v>
                </c:pt>
                <c:pt idx="174">
                  <c:v>1750</c:v>
                </c:pt>
                <c:pt idx="175">
                  <c:v>1760</c:v>
                </c:pt>
                <c:pt idx="176">
                  <c:v>1770</c:v>
                </c:pt>
                <c:pt idx="177">
                  <c:v>1780</c:v>
                </c:pt>
                <c:pt idx="178">
                  <c:v>1790</c:v>
                </c:pt>
                <c:pt idx="179">
                  <c:v>1800</c:v>
                </c:pt>
                <c:pt idx="180">
                  <c:v>1810</c:v>
                </c:pt>
                <c:pt idx="181">
                  <c:v>1820</c:v>
                </c:pt>
                <c:pt idx="182">
                  <c:v>1830</c:v>
                </c:pt>
                <c:pt idx="183">
                  <c:v>1840</c:v>
                </c:pt>
                <c:pt idx="184">
                  <c:v>1850</c:v>
                </c:pt>
                <c:pt idx="185">
                  <c:v>1860</c:v>
                </c:pt>
                <c:pt idx="186">
                  <c:v>1870</c:v>
                </c:pt>
                <c:pt idx="187">
                  <c:v>1880</c:v>
                </c:pt>
                <c:pt idx="188">
                  <c:v>1890</c:v>
                </c:pt>
                <c:pt idx="189">
                  <c:v>1900</c:v>
                </c:pt>
                <c:pt idx="190">
                  <c:v>1910</c:v>
                </c:pt>
                <c:pt idx="191">
                  <c:v>1920</c:v>
                </c:pt>
                <c:pt idx="192">
                  <c:v>1930</c:v>
                </c:pt>
                <c:pt idx="193">
                  <c:v>1940</c:v>
                </c:pt>
                <c:pt idx="194">
                  <c:v>1950</c:v>
                </c:pt>
                <c:pt idx="195">
                  <c:v>1960</c:v>
                </c:pt>
                <c:pt idx="196">
                  <c:v>1970</c:v>
                </c:pt>
                <c:pt idx="197">
                  <c:v>1980</c:v>
                </c:pt>
                <c:pt idx="198">
                  <c:v>1990</c:v>
                </c:pt>
                <c:pt idx="199">
                  <c:v>2000</c:v>
                </c:pt>
                <c:pt idx="200">
                  <c:v>2010</c:v>
                </c:pt>
              </c:numCache>
            </c:numRef>
          </c:cat>
          <c:val>
            <c:numRef>
              <c:f>IntercalsJury1!$AF$117:$AF$317</c:f>
              <c:numCache>
                <c:formatCode>General</c:formatCode>
                <c:ptCount val="201"/>
                <c:pt idx="0">
                  <c:v>0.50716797286850979</c:v>
                </c:pt>
                <c:pt idx="1">
                  <c:v>0.51011549076406415</c:v>
                </c:pt>
                <c:pt idx="2">
                  <c:v>0.51236828309432336</c:v>
                </c:pt>
                <c:pt idx="3">
                  <c:v>0.51426132061016561</c:v>
                </c:pt>
                <c:pt idx="4">
                  <c:v>0.5159243689612143</c:v>
                </c:pt>
                <c:pt idx="5">
                  <c:v>0.51742398849247684</c:v>
                </c:pt>
                <c:pt idx="6">
                  <c:v>0.51879972413885223</c:v>
                </c:pt>
                <c:pt idx="7">
                  <c:v>0.52007734486887025</c:v>
                </c:pt>
                <c:pt idx="8">
                  <c:v>0.52127475212092489</c:v>
                </c:pt>
                <c:pt idx="9">
                  <c:v>0.52240498145874281</c:v>
                </c:pt>
                <c:pt idx="10">
                  <c:v>0.5234778749127853</c:v>
                </c:pt>
                <c:pt idx="11">
                  <c:v>0.52450107971867632</c:v>
                </c:pt>
                <c:pt idx="12">
                  <c:v>0.52548067808216847</c:v>
                </c:pt>
                <c:pt idx="13">
                  <c:v>0.52642160204898891</c:v>
                </c:pt>
                <c:pt idx="14">
                  <c:v>0.52732791684023417</c:v>
                </c:pt>
                <c:pt idx="15">
                  <c:v>0.52820302029601751</c:v>
                </c:pt>
                <c:pt idx="16">
                  <c:v>0.52904978692673499</c:v>
                </c:pt>
                <c:pt idx="17">
                  <c:v>0.52987067429020662</c:v>
                </c:pt>
                <c:pt idx="18">
                  <c:v>0.53066780308061579</c:v>
                </c:pt>
                <c:pt idx="19">
                  <c:v>0.53144301845888064</c:v>
                </c:pt>
                <c:pt idx="20">
                  <c:v>0.5321979377306465</c:v>
                </c:pt>
                <c:pt idx="21">
                  <c:v>0.53293398791242919</c:v>
                </c:pt>
                <c:pt idx="22">
                  <c:v>0.53365243568987886</c:v>
                </c:pt>
                <c:pt idx="23">
                  <c:v>0.53435441157073593</c:v>
                </c:pt>
                <c:pt idx="24">
                  <c:v>0.535040929551032</c:v>
                </c:pt>
                <c:pt idx="25">
                  <c:v>0.53571290327310961</c:v>
                </c:pt>
                <c:pt idx="26">
                  <c:v>0.53637115941137037</c:v>
                </c:pt>
                <c:pt idx="27">
                  <c:v>0.53701644884588695</c:v>
                </c:pt>
                <c:pt idx="28">
                  <c:v>0.53764945605497216</c:v>
                </c:pt>
                <c:pt idx="29">
                  <c:v>0.53827080706189911</c:v>
                </c:pt>
                <c:pt idx="30">
                  <c:v>0.53888107619886094</c:v>
                </c:pt>
                <c:pt idx="31">
                  <c:v>0.53948079189648712</c:v>
                </c:pt>
                <c:pt idx="32">
                  <c:v>0.54007044166520901</c:v>
                </c:pt>
                <c:pt idx="33">
                  <c:v>0.54065047640223429</c:v>
                </c:pt>
                <c:pt idx="34">
                  <c:v>0.54122131413248475</c:v>
                </c:pt>
                <c:pt idx="35">
                  <c:v>0.5417833432718574</c:v>
                </c:pt>
                <c:pt idx="36">
                  <c:v>0.5423369254853182</c:v>
                </c:pt>
                <c:pt idx="37">
                  <c:v>0.54288239819967177</c:v>
                </c:pt>
                <c:pt idx="38">
                  <c:v>0.54342007682068394</c:v>
                </c:pt>
                <c:pt idx="39">
                  <c:v>0.54395025669599306</c:v>
                </c:pt>
                <c:pt idx="40">
                  <c:v>0.54447321485856159</c:v>
                </c:pt>
                <c:pt idx="41">
                  <c:v>0.54498921157993274</c:v>
                </c:pt>
                <c:pt idx="42">
                  <c:v>0.54549849175805842</c:v>
                </c:pt>
                <c:pt idx="43">
                  <c:v>0.54600128616073951</c:v>
                </c:pt>
                <c:pt idx="44">
                  <c:v>0.5464978125426263</c:v>
                </c:pt>
                <c:pt idx="45">
                  <c:v>0.54698827665115124</c:v>
                </c:pt>
                <c:pt idx="46">
                  <c:v>0.54747287313460136</c:v>
                </c:pt>
                <c:pt idx="47">
                  <c:v>0.54795178636372399</c:v>
                </c:pt>
                <c:pt idx="48">
                  <c:v>0.54842519117672195</c:v>
                </c:pt>
                <c:pt idx="49">
                  <c:v>0.54889325355619401</c:v>
                </c:pt>
                <c:pt idx="50">
                  <c:v>0.54935613124546834</c:v>
                </c:pt>
                <c:pt idx="51">
                  <c:v>0.54981397431083556</c:v>
                </c:pt>
                <c:pt idx="52">
                  <c:v>0.5502669256553735</c:v>
                </c:pt>
                <c:pt idx="53">
                  <c:v>0.55071512148936352</c:v>
                </c:pt>
                <c:pt idx="54">
                  <c:v>0.55115869176170162</c:v>
                </c:pt>
                <c:pt idx="55">
                  <c:v>0.55159776055618259</c:v>
                </c:pt>
                <c:pt idx="56">
                  <c:v>0.5520324464560955</c:v>
                </c:pt>
                <c:pt idx="57">
                  <c:v>0.55246286288017077</c:v>
                </c:pt>
                <c:pt idx="58">
                  <c:v>0.55288911839258803</c:v>
                </c:pt>
                <c:pt idx="59">
                  <c:v>0.55331131698944602</c:v>
                </c:pt>
                <c:pt idx="60">
                  <c:v>0.55372955836384996</c:v>
                </c:pt>
                <c:pt idx="61">
                  <c:v>0.55414393815152885</c:v>
                </c:pt>
                <c:pt idx="62">
                  <c:v>0.55455454815871019</c:v>
                </c:pt>
                <c:pt idx="63">
                  <c:v>0.5549614765737868</c:v>
                </c:pt>
                <c:pt idx="64">
                  <c:v>0.55536480816416911</c:v>
                </c:pt>
                <c:pt idx="65">
                  <c:v>0.55576462445956831</c:v>
                </c:pt>
                <c:pt idx="66">
                  <c:v>0.55616100392283663</c:v>
                </c:pt>
                <c:pt idx="67">
                  <c:v>0.55655402210938354</c:v>
                </c:pt>
                <c:pt idx="68">
                  <c:v>0.55694375181608657</c:v>
                </c:pt>
                <c:pt idx="69">
                  <c:v>0.5573302632205317</c:v>
                </c:pt>
                <c:pt idx="70">
                  <c:v>0.55771362401134095</c:v>
                </c:pt>
                <c:pt idx="71">
                  <c:v>0.55809389951027277</c:v>
                </c:pt>
                <c:pt idx="72">
                  <c:v>0.55847115278672388</c:v>
                </c:pt>
                <c:pt idx="73">
                  <c:v>0.55884544476520048</c:v>
                </c:pt>
                <c:pt idx="74">
                  <c:v>0.55921683432628189</c:v>
                </c:pt>
                <c:pt idx="75">
                  <c:v>0.55958537840154965</c:v>
                </c:pt>
                <c:pt idx="76">
                  <c:v>0.55995113206291924</c:v>
                </c:pt>
                <c:pt idx="77">
                  <c:v>0.5603141486067712</c:v>
                </c:pt>
                <c:pt idx="78">
                  <c:v>0.5606744796332479</c:v>
                </c:pt>
                <c:pt idx="79">
                  <c:v>0.56103217512105175</c:v>
                </c:pt>
                <c:pt idx="80">
                  <c:v>0.56138728349805134</c:v>
                </c:pt>
                <c:pt idx="81">
                  <c:v>0.5617398517079808</c:v>
                </c:pt>
                <c:pt idx="82">
                  <c:v>0.56208992527349333</c:v>
                </c:pt>
                <c:pt idx="83">
                  <c:v>0.56243754835580884</c:v>
                </c:pt>
                <c:pt idx="84">
                  <c:v>0.56278276381117776</c:v>
                </c:pt>
                <c:pt idx="85">
                  <c:v>0.56312561324436861</c:v>
                </c:pt>
                <c:pt idx="86">
                  <c:v>0.56346613705936499</c:v>
                </c:pt>
                <c:pt idx="87">
                  <c:v>0.56380437450745258</c:v>
                </c:pt>
                <c:pt idx="88">
                  <c:v>0.56414036373285492</c:v>
                </c:pt>
                <c:pt idx="89">
                  <c:v>0.56447414181607003</c:v>
                </c:pt>
                <c:pt idx="90">
                  <c:v>0.56480574481504953</c:v>
                </c:pt>
                <c:pt idx="91">
                  <c:v>0.56513520780434801</c:v>
                </c:pt>
                <c:pt idx="92">
                  <c:v>0.56546256491236446</c:v>
                </c:pt>
                <c:pt idx="93">
                  <c:v>0.56578784935678894</c:v>
                </c:pt>
                <c:pt idx="94">
                  <c:v>0.56611109347835742</c:v>
                </c:pt>
                <c:pt idx="95">
                  <c:v>0.56643232877301497</c:v>
                </c:pt>
                <c:pt idx="96">
                  <c:v>0.56675158592257535</c:v>
                </c:pt>
                <c:pt idx="97">
                  <c:v>0.56706889482396439</c:v>
                </c:pt>
                <c:pt idx="98">
                  <c:v>0.56738428461712409</c:v>
                </c:pt>
                <c:pt idx="99">
                  <c:v>0.56769778371165514</c:v>
                </c:pt>
                <c:pt idx="100">
                  <c:v>0.56800941981226183</c:v>
                </c:pt>
                <c:pt idx="101">
                  <c:v>0.56831921994306989</c:v>
                </c:pt>
                <c:pt idx="102">
                  <c:v>0.56862721047087372</c:v>
                </c:pt>
                <c:pt idx="103">
                  <c:v>0.56893341712737255</c:v>
                </c:pt>
                <c:pt idx="104">
                  <c:v>0.5692378650304466</c:v>
                </c:pt>
                <c:pt idx="105">
                  <c:v>0.56954057870452601</c:v>
                </c:pt>
                <c:pt idx="106">
                  <c:v>0.56984158210009717</c:v>
                </c:pt>
                <c:pt idx="107">
                  <c:v>0.57014089861239159</c:v>
                </c:pt>
                <c:pt idx="108">
                  <c:v>0.57043855109929964</c:v>
                </c:pt>
                <c:pt idx="109">
                  <c:v>0.57073456189854566</c:v>
                </c:pt>
                <c:pt idx="110">
                  <c:v>0.57102895284416488</c:v>
                </c:pt>
                <c:pt idx="111">
                  <c:v>0.57132174528231294</c:v>
                </c:pt>
                <c:pt idx="112">
                  <c:v>0.57161296008644336</c:v>
                </c:pt>
                <c:pt idx="113">
                  <c:v>0.57190261767188277</c:v>
                </c:pt>
                <c:pt idx="114">
                  <c:v>0.57219073800983156</c:v>
                </c:pt>
                <c:pt idx="115">
                  <c:v>0.57247734064082045</c:v>
                </c:pt>
                <c:pt idx="116">
                  <c:v>0.57276244468764514</c:v>
                </c:pt>
                <c:pt idx="117">
                  <c:v>0.5730460688678064</c:v>
                </c:pt>
                <c:pt idx="118">
                  <c:v>0.57332823150547618</c:v>
                </c:pt>
                <c:pt idx="119">
                  <c:v>0.57360895054301375</c:v>
                </c:pt>
                <c:pt idx="120">
                  <c:v>0.57388824355205126</c:v>
                </c:pt>
                <c:pt idx="121">
                  <c:v>0.57416612774416809</c:v>
                </c:pt>
                <c:pt idx="122">
                  <c:v>0.57444261998117307</c:v>
                </c:pt>
                <c:pt idx="123">
                  <c:v>0.57471773678501159</c:v>
                </c:pt>
                <c:pt idx="124">
                  <c:v>0.57499149434731467</c:v>
                </c:pt>
                <c:pt idx="125">
                  <c:v>0.57526390853860532</c:v>
                </c:pt>
                <c:pt idx="126">
                  <c:v>0.57553499491717741</c:v>
                </c:pt>
                <c:pt idx="127">
                  <c:v>0.57580476873765984</c:v>
                </c:pt>
                <c:pt idx="128">
                  <c:v>0.5760732449592828</c:v>
                </c:pt>
                <c:pt idx="129">
                  <c:v>0.57634043825385495</c:v>
                </c:pt>
                <c:pt idx="130">
                  <c:v>0.57660636301346546</c:v>
                </c:pt>
                <c:pt idx="131">
                  <c:v>0.57687103335792334</c:v>
                </c:pt>
                <c:pt idx="132">
                  <c:v>0.57713446314194317</c:v>
                </c:pt>
                <c:pt idx="133">
                  <c:v>0.57739666596208894</c:v>
                </c:pt>
                <c:pt idx="134">
                  <c:v>0.57765765516348533</c:v>
                </c:pt>
                <c:pt idx="135">
                  <c:v>0.57791744384630583</c:v>
                </c:pt>
                <c:pt idx="136">
                  <c:v>0.57817604487204766</c:v>
                </c:pt>
                <c:pt idx="137">
                  <c:v>0.57843347086960006</c:v>
                </c:pt>
                <c:pt idx="138">
                  <c:v>0.5786897342411168</c:v>
                </c:pt>
                <c:pt idx="139">
                  <c:v>0.57894484716769767</c:v>
                </c:pt>
                <c:pt idx="140">
                  <c:v>0.57919882161488923</c:v>
                </c:pt>
                <c:pt idx="141">
                  <c:v>0.57945166933801029</c:v>
                </c:pt>
                <c:pt idx="142">
                  <c:v>0.57970340188730873</c:v>
                </c:pt>
                <c:pt idx="143">
                  <c:v>0.57995403061295669</c:v>
                </c:pt>
                <c:pt idx="144">
                  <c:v>0.58020356666989081</c:v>
                </c:pt>
                <c:pt idx="145">
                  <c:v>0.58045202102250182</c:v>
                </c:pt>
                <c:pt idx="146">
                  <c:v>0.58069940444918144</c:v>
                </c:pt>
                <c:pt idx="147">
                  <c:v>0.5809457275467288</c:v>
                </c:pt>
                <c:pt idx="148">
                  <c:v>0.5811910007346246</c:v>
                </c:pt>
                <c:pt idx="149">
                  <c:v>0.58143523425917631</c:v>
                </c:pt>
                <c:pt idx="150">
                  <c:v>0.58167843819753928</c:v>
                </c:pt>
                <c:pt idx="151">
                  <c:v>0.58192062246161869</c:v>
                </c:pt>
                <c:pt idx="152">
                  <c:v>0.58216179680185587</c:v>
                </c:pt>
                <c:pt idx="153">
                  <c:v>0.58240197081090406</c:v>
                </c:pt>
                <c:pt idx="154">
                  <c:v>0.58264115392719729</c:v>
                </c:pt>
                <c:pt idx="155">
                  <c:v>0.58287935543841563</c:v>
                </c:pt>
                <c:pt idx="156">
                  <c:v>0.58311658448485049</c:v>
                </c:pt>
                <c:pt idx="157">
                  <c:v>0.5833528500626749</c:v>
                </c:pt>
                <c:pt idx="158">
                  <c:v>0.58358816102711975</c:v>
                </c:pt>
                <c:pt idx="159">
                  <c:v>0.5838225260955614</c:v>
                </c:pt>
                <c:pt idx="160">
                  <c:v>0.58405595385052167</c:v>
                </c:pt>
                <c:pt idx="161">
                  <c:v>0.58428845274258578</c:v>
                </c:pt>
                <c:pt idx="162">
                  <c:v>0.58452003109323802</c:v>
                </c:pt>
                <c:pt idx="163">
                  <c:v>0.58475069709762018</c:v>
                </c:pt>
                <c:pt idx="164">
                  <c:v>0.5849804588272145</c:v>
                </c:pt>
                <c:pt idx="165">
                  <c:v>0.58520932423245342</c:v>
                </c:pt>
                <c:pt idx="166">
                  <c:v>0.58543730114525905</c:v>
                </c:pt>
                <c:pt idx="167">
                  <c:v>0.58566439728151465</c:v>
                </c:pt>
                <c:pt idx="168">
                  <c:v>0.58589062024346961</c:v>
                </c:pt>
                <c:pt idx="169">
                  <c:v>0.58611597752208078</c:v>
                </c:pt>
                <c:pt idx="170">
                  <c:v>0.58634047649929244</c:v>
                </c:pt>
                <c:pt idx="171">
                  <c:v>0.58656412445025585</c:v>
                </c:pt>
                <c:pt idx="172">
                  <c:v>0.58678692854549175</c:v>
                </c:pt>
                <c:pt idx="173">
                  <c:v>0.58700889585299565</c:v>
                </c:pt>
                <c:pt idx="174">
                  <c:v>0.58723003334028989</c:v>
                </c:pt>
                <c:pt idx="175">
                  <c:v>0.58745034787642292</c:v>
                </c:pt>
                <c:pt idx="176">
                  <c:v>0.58766984623391694</c:v>
                </c:pt>
                <c:pt idx="177">
                  <c:v>0.58788853509066741</c:v>
                </c:pt>
                <c:pt idx="178">
                  <c:v>0.58810642103179289</c:v>
                </c:pt>
                <c:pt idx="179">
                  <c:v>0.58832351055144128</c:v>
                </c:pt>
                <c:pt idx="180">
                  <c:v>0.58853981005454781</c:v>
                </c:pt>
                <c:pt idx="181">
                  <c:v>0.58875532585855195</c:v>
                </c:pt>
                <c:pt idx="182">
                  <c:v>0.58897006419507147</c:v>
                </c:pt>
                <c:pt idx="183">
                  <c:v>0.58918403121153406</c:v>
                </c:pt>
                <c:pt idx="184">
                  <c:v>0.58939723297277147</c:v>
                </c:pt>
                <c:pt idx="185">
                  <c:v>0.58960967546257292</c:v>
                </c:pt>
                <c:pt idx="186">
                  <c:v>0.58982136458520307</c:v>
                </c:pt>
                <c:pt idx="187">
                  <c:v>0.59003230616688096</c:v>
                </c:pt>
                <c:pt idx="188">
                  <c:v>0.5902425059572266</c:v>
                </c:pt>
                <c:pt idx="189">
                  <c:v>0.59045196963067126</c:v>
                </c:pt>
                <c:pt idx="190">
                  <c:v>0.59066070278783511</c:v>
                </c:pt>
                <c:pt idx="191">
                  <c:v>0.59086871095687221</c:v>
                </c:pt>
                <c:pt idx="192">
                  <c:v>0.59107599959478496</c:v>
                </c:pt>
                <c:pt idx="193">
                  <c:v>0.5912825740887071</c:v>
                </c:pt>
                <c:pt idx="194">
                  <c:v>0.59148843975715693</c:v>
                </c:pt>
                <c:pt idx="195">
                  <c:v>0.59169360185126296</c:v>
                </c:pt>
                <c:pt idx="196">
                  <c:v>0.5918980655559597</c:v>
                </c:pt>
                <c:pt idx="197">
                  <c:v>0.59210183599115851</c:v>
                </c:pt>
                <c:pt idx="198">
                  <c:v>0.59230491821288933</c:v>
                </c:pt>
                <c:pt idx="199">
                  <c:v>0.59250731721441896</c:v>
                </c:pt>
                <c:pt idx="200">
                  <c:v>0.59270903792734275</c:v>
                </c:pt>
              </c:numCache>
            </c:numRef>
          </c:val>
          <c:smooth val="0"/>
          <c:extLst>
            <c:ext xmlns:c16="http://schemas.microsoft.com/office/drawing/2014/chart" uri="{C3380CC4-5D6E-409C-BE32-E72D297353CC}">
              <c16:uniqueId val="{00000000-7268-41D9-AFCA-99EDF451A43F}"/>
            </c:ext>
          </c:extLst>
        </c:ser>
        <c:dLbls>
          <c:showLegendKey val="0"/>
          <c:showVal val="0"/>
          <c:showCatName val="0"/>
          <c:showSerName val="0"/>
          <c:showPercent val="0"/>
          <c:showBubbleSize val="0"/>
        </c:dLbls>
        <c:marker val="1"/>
        <c:smooth val="0"/>
        <c:axId val="489620136"/>
        <c:axId val="1"/>
      </c:lineChart>
      <c:catAx>
        <c:axId val="4896201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(days)</a:t>
                </a:r>
              </a:p>
            </c:rich>
          </c:tx>
          <c:layout>
            <c:manualLayout>
              <c:xMode val="edge"/>
              <c:yMode val="edge"/>
              <c:x val="0.4203343391939085"/>
              <c:y val="0.917981599421622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C/Co</a:t>
                </a:r>
              </a:p>
            </c:rich>
          </c:tx>
          <c:layout>
            <c:manualLayout>
              <c:xMode val="edge"/>
              <c:yMode val="edge"/>
              <c:x val="9.8250396161372495E-3"/>
              <c:y val="0.309026246719160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6201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Sorbed phase contaminant concentration (ug/kg) versus depth (cm)</a:t>
            </a:r>
          </a:p>
        </c:rich>
      </c:tx>
      <c:layout>
        <c:manualLayout>
          <c:xMode val="edge"/>
          <c:yMode val="edge"/>
          <c:x val="0.11608961303462322"/>
          <c:y val="3.6666666666666667E-2"/>
        </c:manualLayout>
      </c:layout>
      <c:overlay val="0"/>
      <c:spPr>
        <a:noFill/>
        <a:ln w="25400">
          <a:noFill/>
        </a:ln>
      </c:spPr>
    </c:title>
    <c:autoTitleDeleted val="0"/>
    <c:plotArea>
      <c:layout>
        <c:manualLayout>
          <c:layoutTarget val="inner"/>
          <c:xMode val="edge"/>
          <c:yMode val="edge"/>
          <c:x val="0.15668963874789754"/>
          <c:y val="0.17008496587484381"/>
          <c:w val="0.83095723014256617"/>
          <c:h val="0.44666812066445527"/>
        </c:manualLayout>
      </c:layout>
      <c:lineChart>
        <c:grouping val="standard"/>
        <c:varyColors val="0"/>
        <c:ser>
          <c:idx val="0"/>
          <c:order val="0"/>
          <c:tx>
            <c:v>concentration</c:v>
          </c:tx>
          <c:spPr>
            <a:ln w="12700">
              <a:solidFill>
                <a:srgbClr val="000080"/>
              </a:solidFill>
              <a:prstDash val="solid"/>
            </a:ln>
          </c:spPr>
          <c:marker>
            <c:symbol val="diamond"/>
            <c:size val="5"/>
            <c:spPr>
              <a:solidFill>
                <a:srgbClr val="000080"/>
              </a:solidFill>
              <a:ln>
                <a:solidFill>
                  <a:srgbClr val="000080"/>
                </a:solidFill>
                <a:prstDash val="solid"/>
              </a:ln>
            </c:spPr>
          </c:marker>
          <c:cat>
            <c:numRef>
              <c:f>IntercalcsJury2!$B$114:$B$263</c:f>
              <c:numCache>
                <c:formatCode>General</c:formatCode>
                <c:ptCount val="1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pt idx="100">
                  <c:v>2020</c:v>
                </c:pt>
                <c:pt idx="101">
                  <c:v>2040</c:v>
                </c:pt>
                <c:pt idx="102">
                  <c:v>2060</c:v>
                </c:pt>
                <c:pt idx="103">
                  <c:v>2080</c:v>
                </c:pt>
                <c:pt idx="104">
                  <c:v>2100</c:v>
                </c:pt>
                <c:pt idx="105">
                  <c:v>2120</c:v>
                </c:pt>
                <c:pt idx="106">
                  <c:v>2140</c:v>
                </c:pt>
                <c:pt idx="107">
                  <c:v>2160</c:v>
                </c:pt>
                <c:pt idx="108">
                  <c:v>2180</c:v>
                </c:pt>
                <c:pt idx="109">
                  <c:v>2200</c:v>
                </c:pt>
                <c:pt idx="110">
                  <c:v>2220</c:v>
                </c:pt>
                <c:pt idx="111">
                  <c:v>2240</c:v>
                </c:pt>
                <c:pt idx="112">
                  <c:v>2260</c:v>
                </c:pt>
                <c:pt idx="113">
                  <c:v>2280</c:v>
                </c:pt>
                <c:pt idx="114">
                  <c:v>2300</c:v>
                </c:pt>
                <c:pt idx="115">
                  <c:v>2320</c:v>
                </c:pt>
                <c:pt idx="116">
                  <c:v>2340</c:v>
                </c:pt>
                <c:pt idx="117">
                  <c:v>2360</c:v>
                </c:pt>
                <c:pt idx="118">
                  <c:v>2380</c:v>
                </c:pt>
                <c:pt idx="119">
                  <c:v>2400</c:v>
                </c:pt>
                <c:pt idx="120">
                  <c:v>2420</c:v>
                </c:pt>
                <c:pt idx="121">
                  <c:v>2440</c:v>
                </c:pt>
                <c:pt idx="122">
                  <c:v>2460</c:v>
                </c:pt>
                <c:pt idx="123">
                  <c:v>2480</c:v>
                </c:pt>
                <c:pt idx="124">
                  <c:v>2500</c:v>
                </c:pt>
                <c:pt idx="125">
                  <c:v>2520</c:v>
                </c:pt>
                <c:pt idx="126">
                  <c:v>2540</c:v>
                </c:pt>
                <c:pt idx="127">
                  <c:v>2560</c:v>
                </c:pt>
                <c:pt idx="128">
                  <c:v>2580</c:v>
                </c:pt>
                <c:pt idx="129">
                  <c:v>2600</c:v>
                </c:pt>
                <c:pt idx="130">
                  <c:v>2620</c:v>
                </c:pt>
                <c:pt idx="131">
                  <c:v>2640</c:v>
                </c:pt>
                <c:pt idx="132">
                  <c:v>2660</c:v>
                </c:pt>
                <c:pt idx="133">
                  <c:v>2680</c:v>
                </c:pt>
                <c:pt idx="134">
                  <c:v>2700</c:v>
                </c:pt>
                <c:pt idx="135">
                  <c:v>2720</c:v>
                </c:pt>
                <c:pt idx="136">
                  <c:v>2740</c:v>
                </c:pt>
                <c:pt idx="137">
                  <c:v>2760</c:v>
                </c:pt>
                <c:pt idx="138">
                  <c:v>2780</c:v>
                </c:pt>
                <c:pt idx="139">
                  <c:v>2800</c:v>
                </c:pt>
                <c:pt idx="140">
                  <c:v>2820</c:v>
                </c:pt>
                <c:pt idx="141">
                  <c:v>2840</c:v>
                </c:pt>
                <c:pt idx="142">
                  <c:v>2860</c:v>
                </c:pt>
                <c:pt idx="143">
                  <c:v>2880</c:v>
                </c:pt>
                <c:pt idx="144">
                  <c:v>2900</c:v>
                </c:pt>
                <c:pt idx="145">
                  <c:v>2920</c:v>
                </c:pt>
                <c:pt idx="146">
                  <c:v>2940</c:v>
                </c:pt>
                <c:pt idx="147">
                  <c:v>2960</c:v>
                </c:pt>
                <c:pt idx="148">
                  <c:v>2980</c:v>
                </c:pt>
                <c:pt idx="149">
                  <c:v>3000</c:v>
                </c:pt>
              </c:numCache>
            </c:numRef>
          </c:cat>
          <c:val>
            <c:numRef>
              <c:f>IntercalcsJury2!$AQ$114:$AQ$263</c:f>
              <c:numCache>
                <c:formatCode>General</c:formatCode>
                <c:ptCount val="150"/>
                <c:pt idx="0">
                  <c:v>9.8357908593041207E-2</c:v>
                </c:pt>
                <c:pt idx="1">
                  <c:v>0.18063720629076613</c:v>
                </c:pt>
                <c:pt idx="2">
                  <c:v>0.23821365251948542</c:v>
                </c:pt>
                <c:pt idx="3">
                  <c:v>0.27191576845332349</c:v>
                </c:pt>
                <c:pt idx="4">
                  <c:v>0.28841656554115414</c:v>
                </c:pt>
                <c:pt idx="5">
                  <c:v>0.29517363746741276</c:v>
                </c:pt>
                <c:pt idx="6">
                  <c:v>0.29748773624412211</c:v>
                </c:pt>
                <c:pt idx="7">
                  <c:v>0.29815046043211108</c:v>
                </c:pt>
                <c:pt idx="8">
                  <c:v>0.2983091556136992</c:v>
                </c:pt>
                <c:pt idx="9">
                  <c:v>0.29834092598359657</c:v>
                </c:pt>
                <c:pt idx="10">
                  <c:v>0.29834624280315525</c:v>
                </c:pt>
                <c:pt idx="11">
                  <c:v>0.29834698649458746</c:v>
                </c:pt>
                <c:pt idx="12">
                  <c:v>0.29834707342709349</c:v>
                </c:pt>
                <c:pt idx="13">
                  <c:v>0.29834708191802811</c:v>
                </c:pt>
                <c:pt idx="14">
                  <c:v>0.29834708261088982</c:v>
                </c:pt>
                <c:pt idx="15">
                  <c:v>0.2983470826581166</c:v>
                </c:pt>
                <c:pt idx="16">
                  <c:v>0.29834708266080512</c:v>
                </c:pt>
                <c:pt idx="17">
                  <c:v>0.29834708266093296</c:v>
                </c:pt>
                <c:pt idx="18">
                  <c:v>0.29834708266093801</c:v>
                </c:pt>
                <c:pt idx="19">
                  <c:v>0.29834708266093818</c:v>
                </c:pt>
                <c:pt idx="20">
                  <c:v>0.29834708266093818</c:v>
                </c:pt>
                <c:pt idx="21">
                  <c:v>0.29834708266093818</c:v>
                </c:pt>
                <c:pt idx="22">
                  <c:v>0.29834708266093818</c:v>
                </c:pt>
                <c:pt idx="23">
                  <c:v>0.29834708266093818</c:v>
                </c:pt>
                <c:pt idx="24">
                  <c:v>0.29834708266093818</c:v>
                </c:pt>
                <c:pt idx="25">
                  <c:v>0.29834708266093818</c:v>
                </c:pt>
                <c:pt idx="26">
                  <c:v>0.29834708266093818</c:v>
                </c:pt>
                <c:pt idx="27">
                  <c:v>0.29834708266093818</c:v>
                </c:pt>
                <c:pt idx="28">
                  <c:v>0.29834708266093818</c:v>
                </c:pt>
                <c:pt idx="29">
                  <c:v>0.29834708266093818</c:v>
                </c:pt>
                <c:pt idx="30">
                  <c:v>0.29834708266093818</c:v>
                </c:pt>
                <c:pt idx="31">
                  <c:v>0.2983470826609374</c:v>
                </c:pt>
                <c:pt idx="32">
                  <c:v>0.29834708266091614</c:v>
                </c:pt>
                <c:pt idx="33">
                  <c:v>0.29834708266043408</c:v>
                </c:pt>
                <c:pt idx="34">
                  <c:v>0.298347082651305</c:v>
                </c:pt>
                <c:pt idx="35">
                  <c:v>0.29834708250710279</c:v>
                </c:pt>
                <c:pt idx="36">
                  <c:v>0.29834708060716381</c:v>
                </c:pt>
                <c:pt idx="37">
                  <c:v>0.29834705972535219</c:v>
                </c:pt>
                <c:pt idx="38">
                  <c:v>0.29834686825925505</c:v>
                </c:pt>
                <c:pt idx="39">
                  <c:v>0.29834540357270767</c:v>
                </c:pt>
                <c:pt idx="40">
                  <c:v>0.29833605469441327</c:v>
                </c:pt>
                <c:pt idx="41">
                  <c:v>0.29828626173989137</c:v>
                </c:pt>
                <c:pt idx="42">
                  <c:v>0.29806495239919839</c:v>
                </c:pt>
                <c:pt idx="43">
                  <c:v>0.29724406633722972</c:v>
                </c:pt>
                <c:pt idx="44">
                  <c:v>0.29470284356489068</c:v>
                </c:pt>
                <c:pt idx="45">
                  <c:v>0.28813682655149842</c:v>
                </c:pt>
                <c:pt idx="46">
                  <c:v>0.27397627042115003</c:v>
                </c:pt>
                <c:pt idx="47">
                  <c:v>0.24848485510056972</c:v>
                </c:pt>
                <c:pt idx="48">
                  <c:v>0.21017984072725754</c:v>
                </c:pt>
                <c:pt idx="49">
                  <c:v>0.1621319547201554</c:v>
                </c:pt>
                <c:pt idx="50">
                  <c:v>0.11182188373316503</c:v>
                </c:pt>
                <c:pt idx="51">
                  <c:v>6.784761875618632E-2</c:v>
                </c:pt>
                <c:pt idx="52">
                  <c:v>3.5762601773958014E-2</c:v>
                </c:pt>
                <c:pt idx="53">
                  <c:v>1.6221050679663281E-2</c:v>
                </c:pt>
                <c:pt idx="54">
                  <c:v>6.2862751166059124E-3</c:v>
                </c:pt>
                <c:pt idx="55">
                  <c:v>2.0704279037279272E-3</c:v>
                </c:pt>
                <c:pt idx="56">
                  <c:v>5.7721588376840488E-4</c:v>
                </c:pt>
                <c:pt idx="57">
                  <c:v>1.3580124356434806E-4</c:v>
                </c:pt>
                <c:pt idx="58">
                  <c:v>2.6899067930188995E-5</c:v>
                </c:pt>
                <c:pt idx="59">
                  <c:v>4.4775869740277078E-6</c:v>
                </c:pt>
                <c:pt idx="60">
                  <c:v>6.2545580020424807E-7</c:v>
                </c:pt>
                <c:pt idx="61">
                  <c:v>7.3230729573459595E-8</c:v>
                </c:pt>
                <c:pt idx="62">
                  <c:v>7.1800668533325008E-9</c:v>
                </c:pt>
                <c:pt idx="63">
                  <c:v>5.8907446386958423E-10</c:v>
                </c:pt>
                <c:pt idx="64">
                  <c:v>4.0415164984227522E-11</c:v>
                </c:pt>
                <c:pt idx="65">
                  <c:v>2.3175137929416356E-12</c:v>
                </c:pt>
                <c:pt idx="66">
                  <c:v>1.1102268692425419E-13</c:v>
                </c:pt>
                <c:pt idx="67">
                  <c:v>4.4417016914671315E-15</c:v>
                </c:pt>
                <c:pt idx="68">
                  <c:v>1.4835282503293178E-16</c:v>
                </c:pt>
                <c:pt idx="69">
                  <c:v>4.1355283857153225E-18</c:v>
                </c:pt>
                <c:pt idx="70">
                  <c:v>9.6194663771728871E-20</c:v>
                </c:pt>
                <c:pt idx="71">
                  <c:v>1.8666597363372253E-21</c:v>
                </c:pt>
                <c:pt idx="72">
                  <c:v>3.0213022567721301E-23</c:v>
                </c:pt>
                <c:pt idx="73">
                  <c:v>4.07819632615267E-25</c:v>
                </c:pt>
                <c:pt idx="74">
                  <c:v>4.5901319388174136E-27</c:v>
                </c:pt>
                <c:pt idx="75">
                  <c:v>4.3073515247897416E-29</c:v>
                </c:pt>
                <c:pt idx="76">
                  <c:v>3.3695701084009911E-31</c:v>
                </c:pt>
                <c:pt idx="77">
                  <c:v>2.1972209815645493E-33</c:v>
                </c:pt>
                <c:pt idx="78">
                  <c:v>1.1941764148111626E-35</c:v>
                </c:pt>
                <c:pt idx="79">
                  <c:v>5.4090757297912141E-38</c:v>
                </c:pt>
                <c:pt idx="80">
                  <c:v>2.0417621094870517E-40</c:v>
                </c:pt>
                <c:pt idx="81">
                  <c:v>6.4222229453141195E-43</c:v>
                </c:pt>
                <c:pt idx="82">
                  <c:v>1.683205137100705E-45</c:v>
                </c:pt>
                <c:pt idx="83">
                  <c:v>3.6756634660988069E-48</c:v>
                </c:pt>
                <c:pt idx="84">
                  <c:v>6.6874278758655047E-51</c:v>
                </c:pt>
                <c:pt idx="85">
                  <c:v>1.013646780060922E-53</c:v>
                </c:pt>
                <c:pt idx="86">
                  <c:v>1.2799690686292978E-56</c:v>
                </c:pt>
                <c:pt idx="87">
                  <c:v>1.3464189144066998E-59</c:v>
                </c:pt>
                <c:pt idx="88">
                  <c:v>1.1798118700167821E-62</c:v>
                </c:pt>
                <c:pt idx="89">
                  <c:v>8.6115686765437946E-66</c:v>
                </c:pt>
                <c:pt idx="90">
                  <c:v>5.235702129033791E-69</c:v>
                </c:pt>
                <c:pt idx="91">
                  <c:v>2.6514163205069223E-72</c:v>
                </c:pt>
                <c:pt idx="92">
                  <c:v>1.1183540684801765E-75</c:v>
                </c:pt>
                <c:pt idx="93">
                  <c:v>3.9288730702618127E-79</c:v>
                </c:pt>
                <c:pt idx="94">
                  <c:v>1.1495650960916093E-82</c:v>
                </c:pt>
                <c:pt idx="95">
                  <c:v>2.8013432268025424E-86</c:v>
                </c:pt>
                <c:pt idx="96">
                  <c:v>5.6853494785020201E-90</c:v>
                </c:pt>
                <c:pt idx="97">
                  <c:v>9.60942874235754E-94</c:v>
                </c:pt>
                <c:pt idx="98">
                  <c:v>1.3526316018369733E-97</c:v>
                </c:pt>
                <c:pt idx="99">
                  <c:v>1.5856068557435243E-101</c:v>
                </c:pt>
                <c:pt idx="100">
                  <c:v>1.5478841022869132E-105</c:v>
                </c:pt>
                <c:pt idx="101">
                  <c:v>1.2583504996829157E-109</c:v>
                </c:pt>
                <c:pt idx="102">
                  <c:v>8.5188068647608818E-114</c:v>
                </c:pt>
                <c:pt idx="103">
                  <c:v>4.8024618896143011E-118</c:v>
                </c:pt>
                <c:pt idx="104">
                  <c:v>2.2545063538721912E-122</c:v>
                </c:pt>
                <c:pt idx="105">
                  <c:v>8.8132493081797356E-127</c:v>
                </c:pt>
                <c:pt idx="106">
                  <c:v>2.8688818121426995E-131</c:v>
                </c:pt>
                <c:pt idx="107">
                  <c:v>7.776362255417357E-136</c:v>
                </c:pt>
                <c:pt idx="108">
                  <c:v>1.7551853820990112E-140</c:v>
                </c:pt>
                <c:pt idx="109">
                  <c:v>3.2987383662913844E-145</c:v>
                </c:pt>
                <c:pt idx="110">
                  <c:v>5.1623448967076643E-150</c:v>
                </c:pt>
                <c:pt idx="111">
                  <c:v>6.7269240472020291E-155</c:v>
                </c:pt>
                <c:pt idx="112">
                  <c:v>7.2988203992857071E-160</c:v>
                </c:pt>
                <c:pt idx="113">
                  <c:v>6.5940453911806267E-165</c:v>
                </c:pt>
                <c:pt idx="114">
                  <c:v>4.9603338844518529E-170</c:v>
                </c:pt>
                <c:pt idx="115">
                  <c:v>3.1068936331847085E-175</c:v>
                </c:pt>
                <c:pt idx="116">
                  <c:v>1.6202994180137483E-180</c:v>
                </c:pt>
                <c:pt idx="117">
                  <c:v>7.0358186681174747E-186</c:v>
                </c:pt>
                <c:pt idx="118">
                  <c:v>2.5437923353352146E-191</c:v>
                </c:pt>
                <c:pt idx="119">
                  <c:v>7.6576167966245402E-197</c:v>
                </c:pt>
                <c:pt idx="120">
                  <c:v>1.9193226202194046E-202</c:v>
                </c:pt>
                <c:pt idx="121">
                  <c:v>4.0053662782369909E-208</c:v>
                </c:pt>
                <c:pt idx="122">
                  <c:v>6.9594356533003655E-214</c:v>
                </c:pt>
                <c:pt idx="123">
                  <c:v>1.0067950367715258E-219</c:v>
                </c:pt>
                <c:pt idx="124">
                  <c:v>1.2126659387752106E-225</c:v>
                </c:pt>
                <c:pt idx="125">
                  <c:v>1.2161083374434133E-231</c:v>
                </c:pt>
                <c:pt idx="126">
                  <c:v>1.0153886620430881E-237</c:v>
                </c:pt>
                <c:pt idx="127">
                  <c:v>7.0586130108623369E-244</c:v>
                </c:pt>
                <c:pt idx="128">
                  <c:v>4.0853718228428204E-250</c:v>
                </c:pt>
                <c:pt idx="129">
                  <c:v>1.9686439021403606E-256</c:v>
                </c:pt>
                <c:pt idx="130">
                  <c:v>7.8981317633018327E-263</c:v>
                </c:pt>
                <c:pt idx="131">
                  <c:v>2.638162550502364E-269</c:v>
                </c:pt>
                <c:pt idx="132">
                  <c:v>7.3366380012070807E-276</c:v>
                </c:pt>
                <c:pt idx="133">
                  <c:v>1.6986716851224578E-282</c:v>
                </c:pt>
                <c:pt idx="134">
                  <c:v>3.2744406959341684E-289</c:v>
                </c:pt>
                <c:pt idx="135">
                  <c:v>5.2550723057675568E-296</c:v>
                </c:pt>
                <c:pt idx="136">
                  <c:v>7.0215462023287516E-303</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mooth val="0"/>
          <c:extLst>
            <c:ext xmlns:c16="http://schemas.microsoft.com/office/drawing/2014/chart" uri="{C3380CC4-5D6E-409C-BE32-E72D297353CC}">
              <c16:uniqueId val="{00000000-316D-4C19-B308-2E8D0EC09245}"/>
            </c:ext>
          </c:extLst>
        </c:ser>
        <c:dLbls>
          <c:showLegendKey val="0"/>
          <c:showVal val="0"/>
          <c:showCatName val="0"/>
          <c:showSerName val="0"/>
          <c:showPercent val="0"/>
          <c:showBubbleSize val="0"/>
        </c:dLbls>
        <c:marker val="1"/>
        <c:smooth val="0"/>
        <c:axId val="489619480"/>
        <c:axId val="1"/>
      </c:lineChart>
      <c:catAx>
        <c:axId val="48961948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Depth (cm)</a:t>
                </a:r>
              </a:p>
            </c:rich>
          </c:tx>
          <c:layout>
            <c:manualLayout>
              <c:xMode val="edge"/>
              <c:yMode val="edge"/>
              <c:x val="0.44488119514361274"/>
              <c:y val="0.936828172016195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9"/>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(ug/kg)</a:t>
                </a:r>
              </a:p>
            </c:rich>
          </c:tx>
          <c:layout>
            <c:manualLayout>
              <c:xMode val="edge"/>
              <c:yMode val="edge"/>
              <c:x val="1.5305362949034356E-2"/>
              <c:y val="0.20490298782694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6194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Total Soil Contamination (ug/kg) versus Time (days) </a:t>
            </a:r>
          </a:p>
        </c:rich>
      </c:tx>
      <c:layout>
        <c:manualLayout>
          <c:xMode val="edge"/>
          <c:yMode val="edge"/>
          <c:x val="0.11788639224974926"/>
          <c:y val="1.6611295681063124E-2"/>
        </c:manualLayout>
      </c:layout>
      <c:overlay val="0"/>
      <c:spPr>
        <a:noFill/>
        <a:ln w="25400">
          <a:noFill/>
        </a:ln>
      </c:spPr>
    </c:title>
    <c:autoTitleDeleted val="0"/>
    <c:plotArea>
      <c:layout>
        <c:manualLayout>
          <c:layoutTarget val="inner"/>
          <c:xMode val="edge"/>
          <c:yMode val="edge"/>
          <c:x val="0.20400588243213388"/>
          <c:y val="0.13680377276283839"/>
          <c:w val="0.78228507305128603"/>
          <c:h val="0.5003576845604212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IntercalsJury1!$B$117:$B$317</c:f>
              <c:numCache>
                <c:formatCode>General</c:formatCode>
                <c:ptCount val="20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pt idx="100">
                  <c:v>1010</c:v>
                </c:pt>
                <c:pt idx="101">
                  <c:v>1020</c:v>
                </c:pt>
                <c:pt idx="102">
                  <c:v>1030</c:v>
                </c:pt>
                <c:pt idx="103">
                  <c:v>1040</c:v>
                </c:pt>
                <c:pt idx="104">
                  <c:v>1050</c:v>
                </c:pt>
                <c:pt idx="105">
                  <c:v>1060</c:v>
                </c:pt>
                <c:pt idx="106">
                  <c:v>1070</c:v>
                </c:pt>
                <c:pt idx="107">
                  <c:v>1080</c:v>
                </c:pt>
                <c:pt idx="108">
                  <c:v>1090</c:v>
                </c:pt>
                <c:pt idx="109">
                  <c:v>1100</c:v>
                </c:pt>
                <c:pt idx="110">
                  <c:v>1110</c:v>
                </c:pt>
                <c:pt idx="111">
                  <c:v>1120</c:v>
                </c:pt>
                <c:pt idx="112">
                  <c:v>1130</c:v>
                </c:pt>
                <c:pt idx="113">
                  <c:v>1140</c:v>
                </c:pt>
                <c:pt idx="114">
                  <c:v>1150</c:v>
                </c:pt>
                <c:pt idx="115">
                  <c:v>1160</c:v>
                </c:pt>
                <c:pt idx="116">
                  <c:v>1170</c:v>
                </c:pt>
                <c:pt idx="117">
                  <c:v>1180</c:v>
                </c:pt>
                <c:pt idx="118">
                  <c:v>1190</c:v>
                </c:pt>
                <c:pt idx="119">
                  <c:v>1200</c:v>
                </c:pt>
                <c:pt idx="120">
                  <c:v>1210</c:v>
                </c:pt>
                <c:pt idx="121">
                  <c:v>1220</c:v>
                </c:pt>
                <c:pt idx="122">
                  <c:v>1230</c:v>
                </c:pt>
                <c:pt idx="123">
                  <c:v>1240</c:v>
                </c:pt>
                <c:pt idx="124">
                  <c:v>1250</c:v>
                </c:pt>
                <c:pt idx="125">
                  <c:v>1260</c:v>
                </c:pt>
                <c:pt idx="126">
                  <c:v>1270</c:v>
                </c:pt>
                <c:pt idx="127">
                  <c:v>1280</c:v>
                </c:pt>
                <c:pt idx="128">
                  <c:v>1290</c:v>
                </c:pt>
                <c:pt idx="129">
                  <c:v>1300</c:v>
                </c:pt>
                <c:pt idx="130">
                  <c:v>1310</c:v>
                </c:pt>
                <c:pt idx="131">
                  <c:v>1320</c:v>
                </c:pt>
                <c:pt idx="132">
                  <c:v>1330</c:v>
                </c:pt>
                <c:pt idx="133">
                  <c:v>1340</c:v>
                </c:pt>
                <c:pt idx="134">
                  <c:v>1350</c:v>
                </c:pt>
                <c:pt idx="135">
                  <c:v>1360</c:v>
                </c:pt>
                <c:pt idx="136">
                  <c:v>1370</c:v>
                </c:pt>
                <c:pt idx="137">
                  <c:v>1380</c:v>
                </c:pt>
                <c:pt idx="138">
                  <c:v>1390</c:v>
                </c:pt>
                <c:pt idx="139">
                  <c:v>1400</c:v>
                </c:pt>
                <c:pt idx="140">
                  <c:v>1410</c:v>
                </c:pt>
                <c:pt idx="141">
                  <c:v>1420</c:v>
                </c:pt>
                <c:pt idx="142">
                  <c:v>1430</c:v>
                </c:pt>
                <c:pt idx="143">
                  <c:v>1440</c:v>
                </c:pt>
                <c:pt idx="144">
                  <c:v>1450</c:v>
                </c:pt>
                <c:pt idx="145">
                  <c:v>1460</c:v>
                </c:pt>
                <c:pt idx="146">
                  <c:v>1470</c:v>
                </c:pt>
                <c:pt idx="147">
                  <c:v>1480</c:v>
                </c:pt>
                <c:pt idx="148">
                  <c:v>1490</c:v>
                </c:pt>
                <c:pt idx="149">
                  <c:v>1500</c:v>
                </c:pt>
                <c:pt idx="150">
                  <c:v>1510</c:v>
                </c:pt>
                <c:pt idx="151">
                  <c:v>1520</c:v>
                </c:pt>
                <c:pt idx="152">
                  <c:v>1530</c:v>
                </c:pt>
                <c:pt idx="153">
                  <c:v>1540</c:v>
                </c:pt>
                <c:pt idx="154">
                  <c:v>1550</c:v>
                </c:pt>
                <c:pt idx="155">
                  <c:v>1560</c:v>
                </c:pt>
                <c:pt idx="156">
                  <c:v>1570</c:v>
                </c:pt>
                <c:pt idx="157">
                  <c:v>1580</c:v>
                </c:pt>
                <c:pt idx="158">
                  <c:v>1590</c:v>
                </c:pt>
                <c:pt idx="159">
                  <c:v>1600</c:v>
                </c:pt>
                <c:pt idx="160">
                  <c:v>1610</c:v>
                </c:pt>
                <c:pt idx="161">
                  <c:v>1620</c:v>
                </c:pt>
                <c:pt idx="162">
                  <c:v>1630</c:v>
                </c:pt>
                <c:pt idx="163">
                  <c:v>1640</c:v>
                </c:pt>
                <c:pt idx="164">
                  <c:v>1650</c:v>
                </c:pt>
                <c:pt idx="165">
                  <c:v>1660</c:v>
                </c:pt>
                <c:pt idx="166">
                  <c:v>1670</c:v>
                </c:pt>
                <c:pt idx="167">
                  <c:v>1680</c:v>
                </c:pt>
                <c:pt idx="168">
                  <c:v>1690</c:v>
                </c:pt>
                <c:pt idx="169">
                  <c:v>1700</c:v>
                </c:pt>
                <c:pt idx="170">
                  <c:v>1710</c:v>
                </c:pt>
                <c:pt idx="171">
                  <c:v>1720</c:v>
                </c:pt>
                <c:pt idx="172">
                  <c:v>1730</c:v>
                </c:pt>
                <c:pt idx="173">
                  <c:v>1740</c:v>
                </c:pt>
                <c:pt idx="174">
                  <c:v>1750</c:v>
                </c:pt>
                <c:pt idx="175">
                  <c:v>1760</c:v>
                </c:pt>
                <c:pt idx="176">
                  <c:v>1770</c:v>
                </c:pt>
                <c:pt idx="177">
                  <c:v>1780</c:v>
                </c:pt>
                <c:pt idx="178">
                  <c:v>1790</c:v>
                </c:pt>
                <c:pt idx="179">
                  <c:v>1800</c:v>
                </c:pt>
                <c:pt idx="180">
                  <c:v>1810</c:v>
                </c:pt>
                <c:pt idx="181">
                  <c:v>1820</c:v>
                </c:pt>
                <c:pt idx="182">
                  <c:v>1830</c:v>
                </c:pt>
                <c:pt idx="183">
                  <c:v>1840</c:v>
                </c:pt>
                <c:pt idx="184">
                  <c:v>1850</c:v>
                </c:pt>
                <c:pt idx="185">
                  <c:v>1860</c:v>
                </c:pt>
                <c:pt idx="186">
                  <c:v>1870</c:v>
                </c:pt>
                <c:pt idx="187">
                  <c:v>1880</c:v>
                </c:pt>
                <c:pt idx="188">
                  <c:v>1890</c:v>
                </c:pt>
                <c:pt idx="189">
                  <c:v>1900</c:v>
                </c:pt>
                <c:pt idx="190">
                  <c:v>1910</c:v>
                </c:pt>
                <c:pt idx="191">
                  <c:v>1920</c:v>
                </c:pt>
                <c:pt idx="192">
                  <c:v>1930</c:v>
                </c:pt>
                <c:pt idx="193">
                  <c:v>1940</c:v>
                </c:pt>
                <c:pt idx="194">
                  <c:v>1950</c:v>
                </c:pt>
                <c:pt idx="195">
                  <c:v>1960</c:v>
                </c:pt>
                <c:pt idx="196">
                  <c:v>1970</c:v>
                </c:pt>
                <c:pt idx="197">
                  <c:v>1980</c:v>
                </c:pt>
                <c:pt idx="198">
                  <c:v>1990</c:v>
                </c:pt>
                <c:pt idx="199">
                  <c:v>2000</c:v>
                </c:pt>
                <c:pt idx="200">
                  <c:v>2010</c:v>
                </c:pt>
              </c:numCache>
            </c:numRef>
          </c:cat>
          <c:val>
            <c:numRef>
              <c:f>IntercalsJury1!$AH$117:$AH$317</c:f>
              <c:numCache>
                <c:formatCode>General</c:formatCode>
                <c:ptCount val="201"/>
                <c:pt idx="0">
                  <c:v>50.716797286850976</c:v>
                </c:pt>
                <c:pt idx="1">
                  <c:v>51.011549076406418</c:v>
                </c:pt>
                <c:pt idx="2">
                  <c:v>51.236828309432333</c:v>
                </c:pt>
                <c:pt idx="3">
                  <c:v>51.42613206101656</c:v>
                </c:pt>
                <c:pt idx="4">
                  <c:v>51.592436896121427</c:v>
                </c:pt>
                <c:pt idx="5">
                  <c:v>51.742398849247685</c:v>
                </c:pt>
                <c:pt idx="6">
                  <c:v>51.87997241388522</c:v>
                </c:pt>
                <c:pt idx="7">
                  <c:v>52.007734486887024</c:v>
                </c:pt>
                <c:pt idx="8">
                  <c:v>52.127475212092492</c:v>
                </c:pt>
                <c:pt idx="9">
                  <c:v>52.240498145874284</c:v>
                </c:pt>
                <c:pt idx="10">
                  <c:v>52.347787491278531</c:v>
                </c:pt>
                <c:pt idx="11">
                  <c:v>52.450107971867631</c:v>
                </c:pt>
                <c:pt idx="12">
                  <c:v>52.54806780821685</c:v>
                </c:pt>
                <c:pt idx="13">
                  <c:v>52.642160204898893</c:v>
                </c:pt>
                <c:pt idx="14">
                  <c:v>52.732791684023418</c:v>
                </c:pt>
                <c:pt idx="15">
                  <c:v>52.820302029601748</c:v>
                </c:pt>
                <c:pt idx="16">
                  <c:v>52.904978692673495</c:v>
                </c:pt>
                <c:pt idx="17">
                  <c:v>52.987067429020662</c:v>
                </c:pt>
                <c:pt idx="18">
                  <c:v>53.066780308061581</c:v>
                </c:pt>
                <c:pt idx="19">
                  <c:v>53.144301845888066</c:v>
                </c:pt>
                <c:pt idx="20">
                  <c:v>53.219793773064652</c:v>
                </c:pt>
                <c:pt idx="21">
                  <c:v>53.293398791242922</c:v>
                </c:pt>
                <c:pt idx="22">
                  <c:v>53.365243568987886</c:v>
                </c:pt>
                <c:pt idx="23">
                  <c:v>53.435441157073591</c:v>
                </c:pt>
                <c:pt idx="24">
                  <c:v>53.504092955103197</c:v>
                </c:pt>
                <c:pt idx="25">
                  <c:v>53.571290327310962</c:v>
                </c:pt>
                <c:pt idx="26">
                  <c:v>53.63711594113704</c:v>
                </c:pt>
                <c:pt idx="27">
                  <c:v>53.701644884588696</c:v>
                </c:pt>
                <c:pt idx="28">
                  <c:v>53.764945605497218</c:v>
                </c:pt>
                <c:pt idx="29">
                  <c:v>53.827080706189911</c:v>
                </c:pt>
                <c:pt idx="30">
                  <c:v>53.888107619886092</c:v>
                </c:pt>
                <c:pt idx="31">
                  <c:v>53.948079189648709</c:v>
                </c:pt>
                <c:pt idx="32">
                  <c:v>54.007044166520899</c:v>
                </c:pt>
                <c:pt idx="33">
                  <c:v>54.065047640223426</c:v>
                </c:pt>
                <c:pt idx="34">
                  <c:v>54.122131413248475</c:v>
                </c:pt>
                <c:pt idx="35">
                  <c:v>54.178334327185738</c:v>
                </c:pt>
                <c:pt idx="36">
                  <c:v>54.23369254853182</c:v>
                </c:pt>
                <c:pt idx="37">
                  <c:v>54.288239819967174</c:v>
                </c:pt>
                <c:pt idx="38">
                  <c:v>54.342007682068392</c:v>
                </c:pt>
                <c:pt idx="39">
                  <c:v>54.395025669599306</c:v>
                </c:pt>
                <c:pt idx="40">
                  <c:v>54.447321485856158</c:v>
                </c:pt>
                <c:pt idx="41">
                  <c:v>54.498921157993273</c:v>
                </c:pt>
                <c:pt idx="42">
                  <c:v>54.549849175805839</c:v>
                </c:pt>
                <c:pt idx="43">
                  <c:v>54.600128616073953</c:v>
                </c:pt>
                <c:pt idx="44">
                  <c:v>54.649781254262628</c:v>
                </c:pt>
                <c:pt idx="45">
                  <c:v>54.698827665115125</c:v>
                </c:pt>
                <c:pt idx="46">
                  <c:v>54.747287313460134</c:v>
                </c:pt>
                <c:pt idx="47">
                  <c:v>54.795178636372398</c:v>
                </c:pt>
                <c:pt idx="48">
                  <c:v>54.842519117672197</c:v>
                </c:pt>
                <c:pt idx="49">
                  <c:v>54.889325355619398</c:v>
                </c:pt>
                <c:pt idx="50">
                  <c:v>54.935613124546833</c:v>
                </c:pt>
                <c:pt idx="51">
                  <c:v>54.981397431083558</c:v>
                </c:pt>
                <c:pt idx="52">
                  <c:v>55.026692565537353</c:v>
                </c:pt>
                <c:pt idx="53">
                  <c:v>55.07151214893635</c:v>
                </c:pt>
                <c:pt idx="54">
                  <c:v>55.115869176170165</c:v>
                </c:pt>
                <c:pt idx="55">
                  <c:v>55.159776055618259</c:v>
                </c:pt>
                <c:pt idx="56">
                  <c:v>55.203244645609551</c:v>
                </c:pt>
                <c:pt idx="57">
                  <c:v>55.246286288017075</c:v>
                </c:pt>
                <c:pt idx="58">
                  <c:v>55.288911839258802</c:v>
                </c:pt>
                <c:pt idx="59">
                  <c:v>55.331131698944603</c:v>
                </c:pt>
                <c:pt idx="60">
                  <c:v>55.372955836384996</c:v>
                </c:pt>
                <c:pt idx="61">
                  <c:v>55.414393815152884</c:v>
                </c:pt>
                <c:pt idx="62">
                  <c:v>55.455454815871022</c:v>
                </c:pt>
                <c:pt idx="63">
                  <c:v>55.496147657378678</c:v>
                </c:pt>
                <c:pt idx="64">
                  <c:v>55.536480816416912</c:v>
                </c:pt>
                <c:pt idx="65">
                  <c:v>55.576462445956828</c:v>
                </c:pt>
                <c:pt idx="66">
                  <c:v>55.616100392283663</c:v>
                </c:pt>
                <c:pt idx="67">
                  <c:v>55.655402210938355</c:v>
                </c:pt>
                <c:pt idx="68">
                  <c:v>55.694375181608656</c:v>
                </c:pt>
                <c:pt idx="69">
                  <c:v>55.733026322053171</c:v>
                </c:pt>
                <c:pt idx="70">
                  <c:v>55.771362401134098</c:v>
                </c:pt>
                <c:pt idx="71">
                  <c:v>55.809389951027278</c:v>
                </c:pt>
                <c:pt idx="72">
                  <c:v>55.847115278672391</c:v>
                </c:pt>
                <c:pt idx="73">
                  <c:v>55.884544476520048</c:v>
                </c:pt>
                <c:pt idx="74">
                  <c:v>55.921683432628186</c:v>
                </c:pt>
                <c:pt idx="75">
                  <c:v>55.958537840154968</c:v>
                </c:pt>
                <c:pt idx="76">
                  <c:v>55.995113206291926</c:v>
                </c:pt>
                <c:pt idx="77">
                  <c:v>56.031414860677117</c:v>
                </c:pt>
                <c:pt idx="78">
                  <c:v>56.067447963324788</c:v>
                </c:pt>
                <c:pt idx="79">
                  <c:v>56.103217512105175</c:v>
                </c:pt>
                <c:pt idx="80">
                  <c:v>56.138728349805135</c:v>
                </c:pt>
                <c:pt idx="81">
                  <c:v>56.173985170798076</c:v>
                </c:pt>
                <c:pt idx="82">
                  <c:v>56.208992527349331</c:v>
                </c:pt>
                <c:pt idx="83">
                  <c:v>56.243754835580887</c:v>
                </c:pt>
                <c:pt idx="84">
                  <c:v>56.278276381117777</c:v>
                </c:pt>
                <c:pt idx="85">
                  <c:v>56.312561324436864</c:v>
                </c:pt>
                <c:pt idx="86">
                  <c:v>56.346613705936498</c:v>
                </c:pt>
                <c:pt idx="87">
                  <c:v>56.380437450745255</c:v>
                </c:pt>
                <c:pt idx="88">
                  <c:v>56.414036373285491</c:v>
                </c:pt>
                <c:pt idx="89">
                  <c:v>56.447414181607002</c:v>
                </c:pt>
                <c:pt idx="90">
                  <c:v>56.480574481504952</c:v>
                </c:pt>
                <c:pt idx="91">
                  <c:v>56.513520780434803</c:v>
                </c:pt>
                <c:pt idx="92">
                  <c:v>56.546256491236448</c:v>
                </c:pt>
                <c:pt idx="93">
                  <c:v>56.578784935678897</c:v>
                </c:pt>
                <c:pt idx="94">
                  <c:v>56.611109347835743</c:v>
                </c:pt>
                <c:pt idx="95">
                  <c:v>56.6432328773015</c:v>
                </c:pt>
                <c:pt idx="96">
                  <c:v>56.675158592257532</c:v>
                </c:pt>
                <c:pt idx="97">
                  <c:v>56.706889482396441</c:v>
                </c:pt>
                <c:pt idx="98">
                  <c:v>56.73842846171241</c:v>
                </c:pt>
                <c:pt idx="99">
                  <c:v>56.769778371165515</c:v>
                </c:pt>
                <c:pt idx="100">
                  <c:v>56.800941981226181</c:v>
                </c:pt>
                <c:pt idx="101">
                  <c:v>56.831921994306988</c:v>
                </c:pt>
                <c:pt idx="102">
                  <c:v>56.862721047087369</c:v>
                </c:pt>
                <c:pt idx="103">
                  <c:v>56.893341712737254</c:v>
                </c:pt>
                <c:pt idx="104">
                  <c:v>56.92378650304466</c:v>
                </c:pt>
                <c:pt idx="105">
                  <c:v>56.954057870452601</c:v>
                </c:pt>
                <c:pt idx="106">
                  <c:v>56.984158210009717</c:v>
                </c:pt>
                <c:pt idx="107">
                  <c:v>57.014089861239157</c:v>
                </c:pt>
                <c:pt idx="108">
                  <c:v>57.043855109929964</c:v>
                </c:pt>
                <c:pt idx="109">
                  <c:v>57.073456189854568</c:v>
                </c:pt>
                <c:pt idx="110">
                  <c:v>57.102895284416491</c:v>
                </c:pt>
                <c:pt idx="111">
                  <c:v>57.132174528231296</c:v>
                </c:pt>
                <c:pt idx="112">
                  <c:v>57.161296008644335</c:v>
                </c:pt>
                <c:pt idx="113">
                  <c:v>57.190261767188275</c:v>
                </c:pt>
                <c:pt idx="114">
                  <c:v>57.219073800983153</c:v>
                </c:pt>
                <c:pt idx="115">
                  <c:v>57.247734064082046</c:v>
                </c:pt>
                <c:pt idx="116">
                  <c:v>57.276244468764517</c:v>
                </c:pt>
                <c:pt idx="117">
                  <c:v>57.30460688678064</c:v>
                </c:pt>
                <c:pt idx="118">
                  <c:v>57.332823150547618</c:v>
                </c:pt>
                <c:pt idx="119">
                  <c:v>57.360895054301373</c:v>
                </c:pt>
                <c:pt idx="120">
                  <c:v>57.388824355205124</c:v>
                </c:pt>
                <c:pt idx="121">
                  <c:v>57.416612774416805</c:v>
                </c:pt>
                <c:pt idx="122">
                  <c:v>57.444261998117305</c:v>
                </c:pt>
                <c:pt idx="123">
                  <c:v>57.471773678501158</c:v>
                </c:pt>
                <c:pt idx="124">
                  <c:v>57.499149434731464</c:v>
                </c:pt>
                <c:pt idx="125">
                  <c:v>57.526390853860534</c:v>
                </c:pt>
                <c:pt idx="126">
                  <c:v>57.553499491717744</c:v>
                </c:pt>
                <c:pt idx="127">
                  <c:v>57.580476873765981</c:v>
                </c:pt>
                <c:pt idx="128">
                  <c:v>57.607324495928282</c:v>
                </c:pt>
                <c:pt idx="129">
                  <c:v>57.634043825385497</c:v>
                </c:pt>
                <c:pt idx="130">
                  <c:v>57.660636301346543</c:v>
                </c:pt>
                <c:pt idx="131">
                  <c:v>57.687103335792337</c:v>
                </c:pt>
                <c:pt idx="132">
                  <c:v>57.713446314194314</c:v>
                </c:pt>
                <c:pt idx="133">
                  <c:v>57.739666596208892</c:v>
                </c:pt>
                <c:pt idx="134">
                  <c:v>57.76576551634853</c:v>
                </c:pt>
                <c:pt idx="135">
                  <c:v>57.791744384630583</c:v>
                </c:pt>
                <c:pt idx="136">
                  <c:v>57.817604487204768</c:v>
                </c:pt>
                <c:pt idx="137">
                  <c:v>57.843347086960009</c:v>
                </c:pt>
                <c:pt idx="138">
                  <c:v>57.86897342411168</c:v>
                </c:pt>
                <c:pt idx="139">
                  <c:v>57.894484716769767</c:v>
                </c:pt>
                <c:pt idx="140">
                  <c:v>57.919882161488921</c:v>
                </c:pt>
                <c:pt idx="141">
                  <c:v>57.945166933801026</c:v>
                </c:pt>
                <c:pt idx="142">
                  <c:v>57.970340188730873</c:v>
                </c:pt>
                <c:pt idx="143">
                  <c:v>57.995403061295669</c:v>
                </c:pt>
                <c:pt idx="144">
                  <c:v>58.02035666698908</c:v>
                </c:pt>
                <c:pt idx="145">
                  <c:v>58.04520210225018</c:v>
                </c:pt>
                <c:pt idx="146">
                  <c:v>58.069940444918146</c:v>
                </c:pt>
                <c:pt idx="147">
                  <c:v>58.094572754672882</c:v>
                </c:pt>
                <c:pt idx="148">
                  <c:v>58.119100073462462</c:v>
                </c:pt>
                <c:pt idx="149">
                  <c:v>58.143523425917628</c:v>
                </c:pt>
                <c:pt idx="150">
                  <c:v>58.167843819753926</c:v>
                </c:pt>
                <c:pt idx="151">
                  <c:v>58.192062246161868</c:v>
                </c:pt>
                <c:pt idx="152">
                  <c:v>58.21617968018559</c:v>
                </c:pt>
                <c:pt idx="153">
                  <c:v>58.240197081090407</c:v>
                </c:pt>
                <c:pt idx="154">
                  <c:v>58.264115392719731</c:v>
                </c:pt>
                <c:pt idx="155">
                  <c:v>58.287935543841563</c:v>
                </c:pt>
                <c:pt idx="156">
                  <c:v>58.311658448485048</c:v>
                </c:pt>
                <c:pt idx="157">
                  <c:v>58.33528500626749</c:v>
                </c:pt>
                <c:pt idx="158">
                  <c:v>58.358816102711977</c:v>
                </c:pt>
                <c:pt idx="159">
                  <c:v>58.38225260955614</c:v>
                </c:pt>
                <c:pt idx="160">
                  <c:v>58.405595385052166</c:v>
                </c:pt>
                <c:pt idx="161">
                  <c:v>58.428845274258578</c:v>
                </c:pt>
                <c:pt idx="162">
                  <c:v>58.452003109323805</c:v>
                </c:pt>
                <c:pt idx="163">
                  <c:v>58.475069709762018</c:v>
                </c:pt>
                <c:pt idx="164">
                  <c:v>58.498045882721449</c:v>
                </c:pt>
                <c:pt idx="165">
                  <c:v>58.520932423245341</c:v>
                </c:pt>
                <c:pt idx="166">
                  <c:v>58.543730114525907</c:v>
                </c:pt>
                <c:pt idx="167">
                  <c:v>58.566439728151465</c:v>
                </c:pt>
                <c:pt idx="168">
                  <c:v>58.589062024346958</c:v>
                </c:pt>
                <c:pt idx="169">
                  <c:v>58.611597752208077</c:v>
                </c:pt>
                <c:pt idx="170">
                  <c:v>58.634047649929244</c:v>
                </c:pt>
                <c:pt idx="171">
                  <c:v>58.656412445025587</c:v>
                </c:pt>
                <c:pt idx="172">
                  <c:v>58.678692854549176</c:v>
                </c:pt>
                <c:pt idx="173">
                  <c:v>58.700889585299564</c:v>
                </c:pt>
                <c:pt idx="174">
                  <c:v>58.723003334028988</c:v>
                </c:pt>
                <c:pt idx="175">
                  <c:v>58.74503478764229</c:v>
                </c:pt>
                <c:pt idx="176">
                  <c:v>58.766984623391693</c:v>
                </c:pt>
                <c:pt idx="177">
                  <c:v>58.78885350906674</c:v>
                </c:pt>
                <c:pt idx="178">
                  <c:v>58.810642103179291</c:v>
                </c:pt>
                <c:pt idx="179">
                  <c:v>58.83235105514413</c:v>
                </c:pt>
                <c:pt idx="180">
                  <c:v>58.853981005454784</c:v>
                </c:pt>
                <c:pt idx="181">
                  <c:v>58.875532585855197</c:v>
                </c:pt>
                <c:pt idx="182">
                  <c:v>58.89700641950715</c:v>
                </c:pt>
                <c:pt idx="183">
                  <c:v>58.918403121153403</c:v>
                </c:pt>
                <c:pt idx="184">
                  <c:v>58.939723297277148</c:v>
                </c:pt>
                <c:pt idx="185">
                  <c:v>58.960967546257294</c:v>
                </c:pt>
                <c:pt idx="186">
                  <c:v>58.982136458520309</c:v>
                </c:pt>
                <c:pt idx="187">
                  <c:v>59.003230616688093</c:v>
                </c:pt>
                <c:pt idx="188">
                  <c:v>59.024250595722663</c:v>
                </c:pt>
                <c:pt idx="189">
                  <c:v>59.045196963067127</c:v>
                </c:pt>
                <c:pt idx="190">
                  <c:v>59.066070278783513</c:v>
                </c:pt>
                <c:pt idx="191">
                  <c:v>59.086871095687222</c:v>
                </c:pt>
                <c:pt idx="192">
                  <c:v>59.107599959478499</c:v>
                </c:pt>
                <c:pt idx="193">
                  <c:v>59.128257408870709</c:v>
                </c:pt>
                <c:pt idx="194">
                  <c:v>59.148843975715693</c:v>
                </c:pt>
                <c:pt idx="195">
                  <c:v>59.169360185126294</c:v>
                </c:pt>
                <c:pt idx="196">
                  <c:v>59.189806555595972</c:v>
                </c:pt>
                <c:pt idx="197">
                  <c:v>59.210183599115851</c:v>
                </c:pt>
                <c:pt idx="198">
                  <c:v>59.230491821288936</c:v>
                </c:pt>
                <c:pt idx="199">
                  <c:v>59.250731721441895</c:v>
                </c:pt>
                <c:pt idx="200">
                  <c:v>59.270903792734273</c:v>
                </c:pt>
              </c:numCache>
            </c:numRef>
          </c:val>
          <c:smooth val="0"/>
          <c:extLst>
            <c:ext xmlns:c16="http://schemas.microsoft.com/office/drawing/2014/chart" uri="{C3380CC4-5D6E-409C-BE32-E72D297353CC}">
              <c16:uniqueId val="{00000000-358B-490C-B958-C4C1E4C0D741}"/>
            </c:ext>
          </c:extLst>
        </c:ser>
        <c:dLbls>
          <c:showLegendKey val="0"/>
          <c:showVal val="0"/>
          <c:showCatName val="0"/>
          <c:showSerName val="0"/>
          <c:showPercent val="0"/>
          <c:showBubbleSize val="0"/>
        </c:dLbls>
        <c:marker val="1"/>
        <c:smooth val="0"/>
        <c:axId val="489613904"/>
        <c:axId val="1"/>
      </c:lineChart>
      <c:catAx>
        <c:axId val="4896139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(days)</a:t>
                </a:r>
              </a:p>
            </c:rich>
          </c:tx>
          <c:layout>
            <c:manualLayout>
              <c:xMode val="edge"/>
              <c:yMode val="edge"/>
              <c:x val="0.46630419818881813"/>
              <c:y val="0.910581097388847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6"/>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Total soil contamination ug/kg</a:t>
                </a:r>
              </a:p>
            </c:rich>
          </c:tx>
          <c:layout>
            <c:manualLayout>
              <c:xMode val="edge"/>
              <c:yMode val="edge"/>
              <c:x val="1.3842880142673523E-3"/>
              <c:y val="0.107666114804932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6139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Liquid phase contaminant concentration (ug/l) versus Time (days), </a:t>
            </a:r>
          </a:p>
        </c:rich>
      </c:tx>
      <c:layout>
        <c:manualLayout>
          <c:xMode val="edge"/>
          <c:yMode val="edge"/>
          <c:x val="0.13821159550178178"/>
          <c:y val="3.6544850498338874E-2"/>
        </c:manualLayout>
      </c:layout>
      <c:overlay val="0"/>
      <c:spPr>
        <a:noFill/>
        <a:ln w="25400">
          <a:noFill/>
        </a:ln>
      </c:spPr>
    </c:title>
    <c:autoTitleDeleted val="0"/>
    <c:plotArea>
      <c:layout>
        <c:manualLayout>
          <c:layoutTarget val="inner"/>
          <c:xMode val="edge"/>
          <c:yMode val="edge"/>
          <c:x val="0.2080825934429705"/>
          <c:y val="0.17754442183014821"/>
          <c:w val="0.77855012872589047"/>
          <c:h val="0.4485057109532530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IntercalsJury1!$B$117:$B$317</c:f>
              <c:numCache>
                <c:formatCode>General</c:formatCode>
                <c:ptCount val="20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pt idx="100">
                  <c:v>1010</c:v>
                </c:pt>
                <c:pt idx="101">
                  <c:v>1020</c:v>
                </c:pt>
                <c:pt idx="102">
                  <c:v>1030</c:v>
                </c:pt>
                <c:pt idx="103">
                  <c:v>1040</c:v>
                </c:pt>
                <c:pt idx="104">
                  <c:v>1050</c:v>
                </c:pt>
                <c:pt idx="105">
                  <c:v>1060</c:v>
                </c:pt>
                <c:pt idx="106">
                  <c:v>1070</c:v>
                </c:pt>
                <c:pt idx="107">
                  <c:v>1080</c:v>
                </c:pt>
                <c:pt idx="108">
                  <c:v>1090</c:v>
                </c:pt>
                <c:pt idx="109">
                  <c:v>1100</c:v>
                </c:pt>
                <c:pt idx="110">
                  <c:v>1110</c:v>
                </c:pt>
                <c:pt idx="111">
                  <c:v>1120</c:v>
                </c:pt>
                <c:pt idx="112">
                  <c:v>1130</c:v>
                </c:pt>
                <c:pt idx="113">
                  <c:v>1140</c:v>
                </c:pt>
                <c:pt idx="114">
                  <c:v>1150</c:v>
                </c:pt>
                <c:pt idx="115">
                  <c:v>1160</c:v>
                </c:pt>
                <c:pt idx="116">
                  <c:v>1170</c:v>
                </c:pt>
                <c:pt idx="117">
                  <c:v>1180</c:v>
                </c:pt>
                <c:pt idx="118">
                  <c:v>1190</c:v>
                </c:pt>
                <c:pt idx="119">
                  <c:v>1200</c:v>
                </c:pt>
                <c:pt idx="120">
                  <c:v>1210</c:v>
                </c:pt>
                <c:pt idx="121">
                  <c:v>1220</c:v>
                </c:pt>
                <c:pt idx="122">
                  <c:v>1230</c:v>
                </c:pt>
                <c:pt idx="123">
                  <c:v>1240</c:v>
                </c:pt>
                <c:pt idx="124">
                  <c:v>1250</c:v>
                </c:pt>
                <c:pt idx="125">
                  <c:v>1260</c:v>
                </c:pt>
                <c:pt idx="126">
                  <c:v>1270</c:v>
                </c:pt>
                <c:pt idx="127">
                  <c:v>1280</c:v>
                </c:pt>
                <c:pt idx="128">
                  <c:v>1290</c:v>
                </c:pt>
                <c:pt idx="129">
                  <c:v>1300</c:v>
                </c:pt>
                <c:pt idx="130">
                  <c:v>1310</c:v>
                </c:pt>
                <c:pt idx="131">
                  <c:v>1320</c:v>
                </c:pt>
                <c:pt idx="132">
                  <c:v>1330</c:v>
                </c:pt>
                <c:pt idx="133">
                  <c:v>1340</c:v>
                </c:pt>
                <c:pt idx="134">
                  <c:v>1350</c:v>
                </c:pt>
                <c:pt idx="135">
                  <c:v>1360</c:v>
                </c:pt>
                <c:pt idx="136">
                  <c:v>1370</c:v>
                </c:pt>
                <c:pt idx="137">
                  <c:v>1380</c:v>
                </c:pt>
                <c:pt idx="138">
                  <c:v>1390</c:v>
                </c:pt>
                <c:pt idx="139">
                  <c:v>1400</c:v>
                </c:pt>
                <c:pt idx="140">
                  <c:v>1410</c:v>
                </c:pt>
                <c:pt idx="141">
                  <c:v>1420</c:v>
                </c:pt>
                <c:pt idx="142">
                  <c:v>1430</c:v>
                </c:pt>
                <c:pt idx="143">
                  <c:v>1440</c:v>
                </c:pt>
                <c:pt idx="144">
                  <c:v>1450</c:v>
                </c:pt>
                <c:pt idx="145">
                  <c:v>1460</c:v>
                </c:pt>
                <c:pt idx="146">
                  <c:v>1470</c:v>
                </c:pt>
                <c:pt idx="147">
                  <c:v>1480</c:v>
                </c:pt>
                <c:pt idx="148">
                  <c:v>1490</c:v>
                </c:pt>
                <c:pt idx="149">
                  <c:v>1500</c:v>
                </c:pt>
                <c:pt idx="150">
                  <c:v>1510</c:v>
                </c:pt>
                <c:pt idx="151">
                  <c:v>1520</c:v>
                </c:pt>
                <c:pt idx="152">
                  <c:v>1530</c:v>
                </c:pt>
                <c:pt idx="153">
                  <c:v>1540</c:v>
                </c:pt>
                <c:pt idx="154">
                  <c:v>1550</c:v>
                </c:pt>
                <c:pt idx="155">
                  <c:v>1560</c:v>
                </c:pt>
                <c:pt idx="156">
                  <c:v>1570</c:v>
                </c:pt>
                <c:pt idx="157">
                  <c:v>1580</c:v>
                </c:pt>
                <c:pt idx="158">
                  <c:v>1590</c:v>
                </c:pt>
                <c:pt idx="159">
                  <c:v>1600</c:v>
                </c:pt>
                <c:pt idx="160">
                  <c:v>1610</c:v>
                </c:pt>
                <c:pt idx="161">
                  <c:v>1620</c:v>
                </c:pt>
                <c:pt idx="162">
                  <c:v>1630</c:v>
                </c:pt>
                <c:pt idx="163">
                  <c:v>1640</c:v>
                </c:pt>
                <c:pt idx="164">
                  <c:v>1650</c:v>
                </c:pt>
                <c:pt idx="165">
                  <c:v>1660</c:v>
                </c:pt>
                <c:pt idx="166">
                  <c:v>1670</c:v>
                </c:pt>
                <c:pt idx="167">
                  <c:v>1680</c:v>
                </c:pt>
                <c:pt idx="168">
                  <c:v>1690</c:v>
                </c:pt>
                <c:pt idx="169">
                  <c:v>1700</c:v>
                </c:pt>
                <c:pt idx="170">
                  <c:v>1710</c:v>
                </c:pt>
                <c:pt idx="171">
                  <c:v>1720</c:v>
                </c:pt>
                <c:pt idx="172">
                  <c:v>1730</c:v>
                </c:pt>
                <c:pt idx="173">
                  <c:v>1740</c:v>
                </c:pt>
                <c:pt idx="174">
                  <c:v>1750</c:v>
                </c:pt>
                <c:pt idx="175">
                  <c:v>1760</c:v>
                </c:pt>
                <c:pt idx="176">
                  <c:v>1770</c:v>
                </c:pt>
                <c:pt idx="177">
                  <c:v>1780</c:v>
                </c:pt>
                <c:pt idx="178">
                  <c:v>1790</c:v>
                </c:pt>
                <c:pt idx="179">
                  <c:v>1800</c:v>
                </c:pt>
                <c:pt idx="180">
                  <c:v>1810</c:v>
                </c:pt>
                <c:pt idx="181">
                  <c:v>1820</c:v>
                </c:pt>
                <c:pt idx="182">
                  <c:v>1830</c:v>
                </c:pt>
                <c:pt idx="183">
                  <c:v>1840</c:v>
                </c:pt>
                <c:pt idx="184">
                  <c:v>1850</c:v>
                </c:pt>
                <c:pt idx="185">
                  <c:v>1860</c:v>
                </c:pt>
                <c:pt idx="186">
                  <c:v>1870</c:v>
                </c:pt>
                <c:pt idx="187">
                  <c:v>1880</c:v>
                </c:pt>
                <c:pt idx="188">
                  <c:v>1890</c:v>
                </c:pt>
                <c:pt idx="189">
                  <c:v>1900</c:v>
                </c:pt>
                <c:pt idx="190">
                  <c:v>1910</c:v>
                </c:pt>
                <c:pt idx="191">
                  <c:v>1920</c:v>
                </c:pt>
                <c:pt idx="192">
                  <c:v>1930</c:v>
                </c:pt>
                <c:pt idx="193">
                  <c:v>1940</c:v>
                </c:pt>
                <c:pt idx="194">
                  <c:v>1950</c:v>
                </c:pt>
                <c:pt idx="195">
                  <c:v>1960</c:v>
                </c:pt>
                <c:pt idx="196">
                  <c:v>1970</c:v>
                </c:pt>
                <c:pt idx="197">
                  <c:v>1980</c:v>
                </c:pt>
                <c:pt idx="198">
                  <c:v>1990</c:v>
                </c:pt>
                <c:pt idx="199">
                  <c:v>2000</c:v>
                </c:pt>
                <c:pt idx="200">
                  <c:v>2010</c:v>
                </c:pt>
              </c:numCache>
            </c:numRef>
          </c:cat>
          <c:val>
            <c:numRef>
              <c:f>IntercalsJury1!$AJ$117:$AJ$317</c:f>
              <c:numCache>
                <c:formatCode>General</c:formatCode>
                <c:ptCount val="201"/>
                <c:pt idx="0">
                  <c:v>151.69530594272473</c:v>
                </c:pt>
                <c:pt idx="1">
                  <c:v>152.57691647977987</c:v>
                </c:pt>
                <c:pt idx="2">
                  <c:v>153.25073273010665</c:v>
                </c:pt>
                <c:pt idx="3">
                  <c:v>153.81694534700861</c:v>
                </c:pt>
                <c:pt idx="4">
                  <c:v>154.31436758560744</c:v>
                </c:pt>
                <c:pt idx="5">
                  <c:v>154.7629078242702</c:v>
                </c:pt>
                <c:pt idx="6">
                  <c:v>155.17439405947721</c:v>
                </c:pt>
                <c:pt idx="7">
                  <c:v>155.5565338590838</c:v>
                </c:pt>
                <c:pt idx="8">
                  <c:v>155.91468159150293</c:v>
                </c:pt>
                <c:pt idx="9">
                  <c:v>156.25273622893602</c:v>
                </c:pt>
                <c:pt idx="10">
                  <c:v>156.57364154918798</c:v>
                </c:pt>
                <c:pt idx="11">
                  <c:v>156.8796848610198</c:v>
                </c:pt>
                <c:pt idx="12">
                  <c:v>157.17268536854488</c:v>
                </c:pt>
                <c:pt idx="13">
                  <c:v>157.4541182599169</c:v>
                </c:pt>
                <c:pt idx="14">
                  <c:v>157.72519945370908</c:v>
                </c:pt>
                <c:pt idx="15">
                  <c:v>157.98694525304609</c:v>
                </c:pt>
                <c:pt idx="16">
                  <c:v>158.24021543172529</c:v>
                </c:pt>
                <c:pt idx="17">
                  <c:v>158.48574505190624</c:v>
                </c:pt>
                <c:pt idx="18">
                  <c:v>158.72416841892792</c:v>
                </c:pt>
                <c:pt idx="19">
                  <c:v>158.95603742538799</c:v>
                </c:pt>
                <c:pt idx="20">
                  <c:v>159.18183581175865</c:v>
                </c:pt>
                <c:pt idx="21">
                  <c:v>159.40199040252116</c:v>
                </c:pt>
                <c:pt idx="22">
                  <c:v>159.61688006676334</c:v>
                </c:pt>
                <c:pt idx="23">
                  <c:v>159.82684294239357</c:v>
                </c:pt>
                <c:pt idx="24">
                  <c:v>160.0321823183545</c:v>
                </c:pt>
                <c:pt idx="25">
                  <c:v>160.23317146753027</c:v>
                </c:pt>
                <c:pt idx="26">
                  <c:v>160.4300576504597</c:v>
                </c:pt>
                <c:pt idx="27">
                  <c:v>160.62306545739386</c:v>
                </c:pt>
                <c:pt idx="28">
                  <c:v>160.8123996176387</c:v>
                </c:pt>
                <c:pt idx="29">
                  <c:v>160.99824737644039</c:v>
                </c:pt>
                <c:pt idx="30">
                  <c:v>161.18078051810394</c:v>
                </c:pt>
                <c:pt idx="31">
                  <c:v>161.36015709765314</c:v>
                </c:pt>
                <c:pt idx="32">
                  <c:v>161.53652293077036</c:v>
                </c:pt>
                <c:pt idx="33">
                  <c:v>161.71001288202419</c:v>
                </c:pt>
                <c:pt idx="34">
                  <c:v>161.880751983794</c:v>
                </c:pt>
                <c:pt idx="35">
                  <c:v>162.04885641232022</c:v>
                </c:pt>
                <c:pt idx="36">
                  <c:v>162.21443434256773</c:v>
                </c:pt>
                <c:pt idx="37">
                  <c:v>162.37758669980209</c:v>
                </c:pt>
                <c:pt idx="38">
                  <c:v>162.53840782273693</c:v>
                </c:pt>
                <c:pt idx="39">
                  <c:v>162.69698605064596</c:v>
                </c:pt>
                <c:pt idx="40">
                  <c:v>162.85340424483394</c:v>
                </c:pt>
                <c:pt idx="41">
                  <c:v>163.00774025322013</c:v>
                </c:pt>
                <c:pt idx="42">
                  <c:v>163.16006732544116</c:v>
                </c:pt>
                <c:pt idx="43">
                  <c:v>163.31045448476752</c:v>
                </c:pt>
                <c:pt idx="44">
                  <c:v>163.45896686220127</c:v>
                </c:pt>
                <c:pt idx="45">
                  <c:v>163.60566599735327</c:v>
                </c:pt>
                <c:pt idx="46">
                  <c:v>163.75061011005022</c:v>
                </c:pt>
                <c:pt idx="47">
                  <c:v>163.89385434607894</c:v>
                </c:pt>
                <c:pt idx="48">
                  <c:v>164.03545100001651</c:v>
                </c:pt>
                <c:pt idx="49">
                  <c:v>164.17544971770505</c:v>
                </c:pt>
                <c:pt idx="50">
                  <c:v>164.31389768059867</c:v>
                </c:pt>
                <c:pt idx="51">
                  <c:v>164.45083977392886</c:v>
                </c:pt>
                <c:pt idx="52">
                  <c:v>164.58631874039085</c:v>
                </c:pt>
                <c:pt idx="53">
                  <c:v>164.72037532084647</c:v>
                </c:pt>
                <c:pt idx="54">
                  <c:v>164.85304838336037</c:v>
                </c:pt>
                <c:pt idx="55">
                  <c:v>164.98437504172955</c:v>
                </c:pt>
                <c:pt idx="56">
                  <c:v>165.11439076453502</c:v>
                </c:pt>
                <c:pt idx="57">
                  <c:v>165.24312947562433</c:v>
                </c:pt>
                <c:pt idx="58">
                  <c:v>165.37062364683587</c:v>
                </c:pt>
                <c:pt idx="59">
                  <c:v>165.49690438368273</c:v>
                </c:pt>
                <c:pt idx="60">
                  <c:v>165.62200150464102</c:v>
                </c:pt>
                <c:pt idx="61">
                  <c:v>165.74594361461479</c:v>
                </c:pt>
                <c:pt idx="62">
                  <c:v>165.86875817309374</c:v>
                </c:pt>
                <c:pt idx="63">
                  <c:v>165.99047155746362</c:v>
                </c:pt>
                <c:pt idx="64">
                  <c:v>166.11110912188505</c:v>
                </c:pt>
                <c:pt idx="65">
                  <c:v>166.23069525211412</c:v>
                </c:pt>
                <c:pt idx="66">
                  <c:v>166.34925341660116</c:v>
                </c:pt>
                <c:pt idx="67">
                  <c:v>166.46680621417252</c:v>
                </c:pt>
                <c:pt idx="68">
                  <c:v>166.58337541857023</c:v>
                </c:pt>
                <c:pt idx="69">
                  <c:v>166.69898202009918</c:v>
                </c:pt>
                <c:pt idx="70">
                  <c:v>166.81364626460842</c:v>
                </c:pt>
                <c:pt idx="71">
                  <c:v>166.92738769001176</c:v>
                </c:pt>
                <c:pt idx="72">
                  <c:v>167.04022516053553</c:v>
                </c:pt>
                <c:pt idx="73">
                  <c:v>167.15217689886353</c:v>
                </c:pt>
                <c:pt idx="74">
                  <c:v>167.26326051633552</c:v>
                </c:pt>
                <c:pt idx="75">
                  <c:v>167.37349304134085</c:v>
                </c:pt>
                <c:pt idx="76">
                  <c:v>167.48289094603763</c:v>
                </c:pt>
                <c:pt idx="77">
                  <c:v>167.59147017151679</c:v>
                </c:pt>
                <c:pt idx="78">
                  <c:v>167.69924615151979</c:v>
                </c:pt>
                <c:pt idx="79">
                  <c:v>167.80623383481105</c:v>
                </c:pt>
                <c:pt idx="80">
                  <c:v>167.91244770629649</c:v>
                </c:pt>
                <c:pt idx="81">
                  <c:v>168.0179018069733</c:v>
                </c:pt>
                <c:pt idx="82">
                  <c:v>168.1226097527896</c:v>
                </c:pt>
                <c:pt idx="83">
                  <c:v>168.22658475248517</c:v>
                </c:pt>
                <c:pt idx="84">
                  <c:v>168.32983962447986</c:v>
                </c:pt>
                <c:pt idx="85">
                  <c:v>168.43238681287193</c:v>
                </c:pt>
                <c:pt idx="86">
                  <c:v>168.53423840260166</c:v>
                </c:pt>
                <c:pt idx="87">
                  <c:v>168.63540613383424</c:v>
                </c:pt>
                <c:pt idx="88">
                  <c:v>168.73590141560962</c:v>
                </c:pt>
                <c:pt idx="89">
                  <c:v>168.83573533880457</c:v>
                </c:pt>
                <c:pt idx="90">
                  <c:v>168.93491868844947</c:v>
                </c:pt>
                <c:pt idx="91">
                  <c:v>169.03346195543804</c:v>
                </c:pt>
                <c:pt idx="92">
                  <c:v>169.13137534766631</c:v>
                </c:pt>
                <c:pt idx="93">
                  <c:v>169.22866880063475</c:v>
                </c:pt>
                <c:pt idx="94">
                  <c:v>169.32535198754456</c:v>
                </c:pt>
                <c:pt idx="95">
                  <c:v>169.42143432891771</c:v>
                </c:pt>
                <c:pt idx="96">
                  <c:v>169.51692500176728</c:v>
                </c:pt>
                <c:pt idx="97">
                  <c:v>169.61183294834424</c:v>
                </c:pt>
                <c:pt idx="98">
                  <c:v>169.70616688448374</c:v>
                </c:pt>
                <c:pt idx="99">
                  <c:v>169.79993530757378</c:v>
                </c:pt>
                <c:pt idx="100">
                  <c:v>169.89314650416603</c:v>
                </c:pt>
                <c:pt idx="101">
                  <c:v>169.98580855724919</c:v>
                </c:pt>
                <c:pt idx="102">
                  <c:v>170.07792935320248</c:v>
                </c:pt>
                <c:pt idx="103">
                  <c:v>170.16951658844638</c:v>
                </c:pt>
                <c:pt idx="104">
                  <c:v>170.26057777580652</c:v>
                </c:pt>
                <c:pt idx="105">
                  <c:v>170.35112025060596</c:v>
                </c:pt>
                <c:pt idx="106">
                  <c:v>170.44115117649963</c:v>
                </c:pt>
                <c:pt idx="107">
                  <c:v>170.53067755106426</c:v>
                </c:pt>
                <c:pt idx="108">
                  <c:v>170.6197062111564</c:v>
                </c:pt>
                <c:pt idx="109">
                  <c:v>170.70824383804953</c:v>
                </c:pt>
                <c:pt idx="110">
                  <c:v>170.79629696236233</c:v>
                </c:pt>
                <c:pt idx="111">
                  <c:v>170.88387196878747</c:v>
                </c:pt>
                <c:pt idx="112">
                  <c:v>170.97097510063108</c:v>
                </c:pt>
                <c:pt idx="113">
                  <c:v>171.05761246417228</c:v>
                </c:pt>
                <c:pt idx="114">
                  <c:v>171.14379003285089</c:v>
                </c:pt>
                <c:pt idx="115">
                  <c:v>171.22951365129222</c:v>
                </c:pt>
                <c:pt idx="116">
                  <c:v>171.31478903917599</c:v>
                </c:pt>
                <c:pt idx="117">
                  <c:v>171.39962179495703</c:v>
                </c:pt>
                <c:pt idx="118">
                  <c:v>171.4840173994445</c:v>
                </c:pt>
                <c:pt idx="119">
                  <c:v>171.56798121924635</c:v>
                </c:pt>
                <c:pt idx="120">
                  <c:v>171.65151851008508</c:v>
                </c:pt>
                <c:pt idx="121">
                  <c:v>171.73463441999041</c:v>
                </c:pt>
                <c:pt idx="122">
                  <c:v>171.81733399237476</c:v>
                </c:pt>
                <c:pt idx="123">
                  <c:v>171.89962216899644</c:v>
                </c:pt>
                <c:pt idx="124">
                  <c:v>171.98150379281591</c:v>
                </c:pt>
                <c:pt idx="125">
                  <c:v>172.06298361074931</c:v>
                </c:pt>
                <c:pt idx="126">
                  <c:v>172.14406627632422</c:v>
                </c:pt>
                <c:pt idx="127">
                  <c:v>172.2247563522412</c:v>
                </c:pt>
                <c:pt idx="128">
                  <c:v>172.30505831284626</c:v>
                </c:pt>
                <c:pt idx="129">
                  <c:v>172.3849765465169</c:v>
                </c:pt>
                <c:pt idx="130">
                  <c:v>172.46451535796569</c:v>
                </c:pt>
                <c:pt idx="131">
                  <c:v>172.54367897046558</c:v>
                </c:pt>
                <c:pt idx="132">
                  <c:v>172.62247152799893</c:v>
                </c:pt>
                <c:pt idx="133">
                  <c:v>172.70089709733463</c:v>
                </c:pt>
                <c:pt idx="134">
                  <c:v>172.77895967003545</c:v>
                </c:pt>
                <c:pt idx="135">
                  <c:v>172.85666316439853</c:v>
                </c:pt>
                <c:pt idx="136">
                  <c:v>172.93401142733228</c:v>
                </c:pt>
                <c:pt idx="137">
                  <c:v>173.01100823617148</c:v>
                </c:pt>
                <c:pt idx="138">
                  <c:v>173.0876573004337</c:v>
                </c:pt>
                <c:pt idx="139">
                  <c:v>173.1639622635187</c:v>
                </c:pt>
                <c:pt idx="140">
                  <c:v>173.23992670435368</c:v>
                </c:pt>
                <c:pt idx="141">
                  <c:v>173.3155541389861</c:v>
                </c:pt>
                <c:pt idx="142">
                  <c:v>173.39084802212622</c:v>
                </c:pt>
                <c:pt idx="143">
                  <c:v>173.46581174864104</c:v>
                </c:pt>
                <c:pt idx="144">
                  <c:v>173.54044865500219</c:v>
                </c:pt>
                <c:pt idx="145">
                  <c:v>173.61476202068846</c:v>
                </c:pt>
                <c:pt idx="146">
                  <c:v>173.68875506954575</c:v>
                </c:pt>
                <c:pt idx="147">
                  <c:v>173.76243097110529</c:v>
                </c:pt>
                <c:pt idx="148">
                  <c:v>173.83579284186175</c:v>
                </c:pt>
                <c:pt idx="149">
                  <c:v>173.90884374651333</c:v>
                </c:pt>
                <c:pt idx="150">
                  <c:v>173.98158669916427</c:v>
                </c:pt>
                <c:pt idx="151">
                  <c:v>174.05402466449209</c:v>
                </c:pt>
                <c:pt idx="152">
                  <c:v>174.12616055888009</c:v>
                </c:pt>
                <c:pt idx="153">
                  <c:v>174.19799725151663</c:v>
                </c:pt>
                <c:pt idx="154">
                  <c:v>174.26953756546277</c:v>
                </c:pt>
                <c:pt idx="155">
                  <c:v>174.34078427868857</c:v>
                </c:pt>
                <c:pt idx="156">
                  <c:v>174.41174012507986</c:v>
                </c:pt>
                <c:pt idx="157">
                  <c:v>174.48240779541618</c:v>
                </c:pt>
                <c:pt idx="158">
                  <c:v>174.55278993832093</c:v>
                </c:pt>
                <c:pt idx="159">
                  <c:v>174.62288916118484</c:v>
                </c:pt>
                <c:pt idx="160">
                  <c:v>174.69270803106329</c:v>
                </c:pt>
                <c:pt idx="161">
                  <c:v>174.76224907554905</c:v>
                </c:pt>
                <c:pt idx="162">
                  <c:v>174.83151478362052</c:v>
                </c:pt>
                <c:pt idx="163">
                  <c:v>174.90050760646662</c:v>
                </c:pt>
                <c:pt idx="164">
                  <c:v>174.96922995828945</c:v>
                </c:pt>
                <c:pt idx="165">
                  <c:v>175.03768421708475</c:v>
                </c:pt>
                <c:pt idx="166">
                  <c:v>175.10587272540147</c:v>
                </c:pt>
                <c:pt idx="167">
                  <c:v>175.17379779108111</c:v>
                </c:pt>
                <c:pt idx="168">
                  <c:v>175.24146168797691</c:v>
                </c:pt>
                <c:pt idx="169">
                  <c:v>175.30886665665423</c:v>
                </c:pt>
                <c:pt idx="170">
                  <c:v>175.37601490507248</c:v>
                </c:pt>
                <c:pt idx="171">
                  <c:v>175.44290860924897</c:v>
                </c:pt>
                <c:pt idx="172">
                  <c:v>175.50954991390577</c:v>
                </c:pt>
                <c:pt idx="173">
                  <c:v>175.57594093309936</c:v>
                </c:pt>
                <c:pt idx="174">
                  <c:v>175.64208375083442</c:v>
                </c:pt>
                <c:pt idx="175">
                  <c:v>175.70798042166186</c:v>
                </c:pt>
                <c:pt idx="176">
                  <c:v>175.77363297126126</c:v>
                </c:pt>
                <c:pt idx="177">
                  <c:v>175.83904339700916</c:v>
                </c:pt>
                <c:pt idx="178">
                  <c:v>175.90421366853224</c:v>
                </c:pt>
                <c:pt idx="179">
                  <c:v>175.96914572824761</c:v>
                </c:pt>
                <c:pt idx="180">
                  <c:v>176.03384149188864</c:v>
                </c:pt>
                <c:pt idx="181">
                  <c:v>176.09830284901849</c:v>
                </c:pt>
                <c:pt idx="182">
                  <c:v>176.16253166353081</c:v>
                </c:pt>
                <c:pt idx="183">
                  <c:v>176.22652977413776</c:v>
                </c:pt>
                <c:pt idx="184">
                  <c:v>176.29029899484686</c:v>
                </c:pt>
                <c:pt idx="185">
                  <c:v>176.35384111542555</c:v>
                </c:pt>
                <c:pt idx="186">
                  <c:v>176.41715790185532</c:v>
                </c:pt>
                <c:pt idx="187">
                  <c:v>176.48025109677394</c:v>
                </c:pt>
                <c:pt idx="188">
                  <c:v>176.54312241990823</c:v>
                </c:pt>
                <c:pt idx="189">
                  <c:v>176.60577356849586</c:v>
                </c:pt>
                <c:pt idx="190">
                  <c:v>176.66820621769742</c:v>
                </c:pt>
                <c:pt idx="191">
                  <c:v>176.73042202099865</c:v>
                </c:pt>
                <c:pt idx="192">
                  <c:v>176.79242261060364</c:v>
                </c:pt>
                <c:pt idx="193">
                  <c:v>176.85420959781865</c:v>
                </c:pt>
                <c:pt idx="194">
                  <c:v>176.91578457342675</c:v>
                </c:pt>
                <c:pt idx="195">
                  <c:v>176.97714910805468</c:v>
                </c:pt>
                <c:pt idx="196">
                  <c:v>177.03830475253028</c:v>
                </c:pt>
                <c:pt idx="197">
                  <c:v>177.09925303823283</c:v>
                </c:pt>
                <c:pt idx="198">
                  <c:v>177.15999547743445</c:v>
                </c:pt>
                <c:pt idx="199">
                  <c:v>177.22053356363475</c:v>
                </c:pt>
                <c:pt idx="200">
                  <c:v>177.28086877188713</c:v>
                </c:pt>
              </c:numCache>
            </c:numRef>
          </c:val>
          <c:smooth val="0"/>
          <c:extLst>
            <c:ext xmlns:c16="http://schemas.microsoft.com/office/drawing/2014/chart" uri="{C3380CC4-5D6E-409C-BE32-E72D297353CC}">
              <c16:uniqueId val="{00000000-5306-463E-A3D6-4019010EFA20}"/>
            </c:ext>
          </c:extLst>
        </c:ser>
        <c:dLbls>
          <c:showLegendKey val="0"/>
          <c:showVal val="0"/>
          <c:showCatName val="0"/>
          <c:showSerName val="0"/>
          <c:showPercent val="0"/>
          <c:showBubbleSize val="0"/>
        </c:dLbls>
        <c:marker val="1"/>
        <c:smooth val="0"/>
        <c:axId val="489849944"/>
        <c:axId val="1"/>
      </c:lineChart>
      <c:catAx>
        <c:axId val="4898499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(days)</a:t>
                </a:r>
              </a:p>
            </c:rich>
          </c:tx>
          <c:layout>
            <c:manualLayout>
              <c:xMode val="edge"/>
              <c:yMode val="edge"/>
              <c:x val="0.47764307404072709"/>
              <c:y val="0.932168260750580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Liquid phase (ug/l)</a:t>
                </a:r>
              </a:p>
            </c:rich>
          </c:tx>
          <c:layout>
            <c:manualLayout>
              <c:xMode val="edge"/>
              <c:yMode val="edge"/>
              <c:x val="2.347864925800421E-3"/>
              <c:y val="0.230811247940726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8499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Soil gas concentration (ug/l) versus Time (days), </a:t>
            </a:r>
          </a:p>
        </c:rich>
      </c:tx>
      <c:layout>
        <c:manualLayout>
          <c:xMode val="edge"/>
          <c:yMode val="edge"/>
          <c:x val="0.12398395322535902"/>
          <c:y val="3.6544850498338874E-2"/>
        </c:manualLayout>
      </c:layout>
      <c:overlay val="0"/>
      <c:spPr>
        <a:noFill/>
        <a:ln w="25400">
          <a:noFill/>
        </a:ln>
      </c:spPr>
    </c:title>
    <c:autoTitleDeleted val="0"/>
    <c:plotArea>
      <c:layout>
        <c:manualLayout>
          <c:layoutTarget val="inner"/>
          <c:xMode val="edge"/>
          <c:yMode val="edge"/>
          <c:x val="0.19049849437387947"/>
          <c:y val="0.14481398215630858"/>
          <c:w val="0.79613422779498155"/>
          <c:h val="0.5182732659904257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IntercalsJury1!$B$117:$B$317</c:f>
              <c:numCache>
                <c:formatCode>General</c:formatCode>
                <c:ptCount val="20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pt idx="100">
                  <c:v>1010</c:v>
                </c:pt>
                <c:pt idx="101">
                  <c:v>1020</c:v>
                </c:pt>
                <c:pt idx="102">
                  <c:v>1030</c:v>
                </c:pt>
                <c:pt idx="103">
                  <c:v>1040</c:v>
                </c:pt>
                <c:pt idx="104">
                  <c:v>1050</c:v>
                </c:pt>
                <c:pt idx="105">
                  <c:v>1060</c:v>
                </c:pt>
                <c:pt idx="106">
                  <c:v>1070</c:v>
                </c:pt>
                <c:pt idx="107">
                  <c:v>1080</c:v>
                </c:pt>
                <c:pt idx="108">
                  <c:v>1090</c:v>
                </c:pt>
                <c:pt idx="109">
                  <c:v>1100</c:v>
                </c:pt>
                <c:pt idx="110">
                  <c:v>1110</c:v>
                </c:pt>
                <c:pt idx="111">
                  <c:v>1120</c:v>
                </c:pt>
                <c:pt idx="112">
                  <c:v>1130</c:v>
                </c:pt>
                <c:pt idx="113">
                  <c:v>1140</c:v>
                </c:pt>
                <c:pt idx="114">
                  <c:v>1150</c:v>
                </c:pt>
                <c:pt idx="115">
                  <c:v>1160</c:v>
                </c:pt>
                <c:pt idx="116">
                  <c:v>1170</c:v>
                </c:pt>
                <c:pt idx="117">
                  <c:v>1180</c:v>
                </c:pt>
                <c:pt idx="118">
                  <c:v>1190</c:v>
                </c:pt>
                <c:pt idx="119">
                  <c:v>1200</c:v>
                </c:pt>
                <c:pt idx="120">
                  <c:v>1210</c:v>
                </c:pt>
                <c:pt idx="121">
                  <c:v>1220</c:v>
                </c:pt>
                <c:pt idx="122">
                  <c:v>1230</c:v>
                </c:pt>
                <c:pt idx="123">
                  <c:v>1240</c:v>
                </c:pt>
                <c:pt idx="124">
                  <c:v>1250</c:v>
                </c:pt>
                <c:pt idx="125">
                  <c:v>1260</c:v>
                </c:pt>
                <c:pt idx="126">
                  <c:v>1270</c:v>
                </c:pt>
                <c:pt idx="127">
                  <c:v>1280</c:v>
                </c:pt>
                <c:pt idx="128">
                  <c:v>1290</c:v>
                </c:pt>
                <c:pt idx="129">
                  <c:v>1300</c:v>
                </c:pt>
                <c:pt idx="130">
                  <c:v>1310</c:v>
                </c:pt>
                <c:pt idx="131">
                  <c:v>1320</c:v>
                </c:pt>
                <c:pt idx="132">
                  <c:v>1330</c:v>
                </c:pt>
                <c:pt idx="133">
                  <c:v>1340</c:v>
                </c:pt>
                <c:pt idx="134">
                  <c:v>1350</c:v>
                </c:pt>
                <c:pt idx="135">
                  <c:v>1360</c:v>
                </c:pt>
                <c:pt idx="136">
                  <c:v>1370</c:v>
                </c:pt>
                <c:pt idx="137">
                  <c:v>1380</c:v>
                </c:pt>
                <c:pt idx="138">
                  <c:v>1390</c:v>
                </c:pt>
                <c:pt idx="139">
                  <c:v>1400</c:v>
                </c:pt>
                <c:pt idx="140">
                  <c:v>1410</c:v>
                </c:pt>
                <c:pt idx="141">
                  <c:v>1420</c:v>
                </c:pt>
                <c:pt idx="142">
                  <c:v>1430</c:v>
                </c:pt>
                <c:pt idx="143">
                  <c:v>1440</c:v>
                </c:pt>
                <c:pt idx="144">
                  <c:v>1450</c:v>
                </c:pt>
                <c:pt idx="145">
                  <c:v>1460</c:v>
                </c:pt>
                <c:pt idx="146">
                  <c:v>1470</c:v>
                </c:pt>
                <c:pt idx="147">
                  <c:v>1480</c:v>
                </c:pt>
                <c:pt idx="148">
                  <c:v>1490</c:v>
                </c:pt>
                <c:pt idx="149">
                  <c:v>1500</c:v>
                </c:pt>
                <c:pt idx="150">
                  <c:v>1510</c:v>
                </c:pt>
                <c:pt idx="151">
                  <c:v>1520</c:v>
                </c:pt>
                <c:pt idx="152">
                  <c:v>1530</c:v>
                </c:pt>
                <c:pt idx="153">
                  <c:v>1540</c:v>
                </c:pt>
                <c:pt idx="154">
                  <c:v>1550</c:v>
                </c:pt>
                <c:pt idx="155">
                  <c:v>1560</c:v>
                </c:pt>
                <c:pt idx="156">
                  <c:v>1570</c:v>
                </c:pt>
                <c:pt idx="157">
                  <c:v>1580</c:v>
                </c:pt>
                <c:pt idx="158">
                  <c:v>1590</c:v>
                </c:pt>
                <c:pt idx="159">
                  <c:v>1600</c:v>
                </c:pt>
                <c:pt idx="160">
                  <c:v>1610</c:v>
                </c:pt>
                <c:pt idx="161">
                  <c:v>1620</c:v>
                </c:pt>
                <c:pt idx="162">
                  <c:v>1630</c:v>
                </c:pt>
                <c:pt idx="163">
                  <c:v>1640</c:v>
                </c:pt>
                <c:pt idx="164">
                  <c:v>1650</c:v>
                </c:pt>
                <c:pt idx="165">
                  <c:v>1660</c:v>
                </c:pt>
                <c:pt idx="166">
                  <c:v>1670</c:v>
                </c:pt>
                <c:pt idx="167">
                  <c:v>1680</c:v>
                </c:pt>
                <c:pt idx="168">
                  <c:v>1690</c:v>
                </c:pt>
                <c:pt idx="169">
                  <c:v>1700</c:v>
                </c:pt>
                <c:pt idx="170">
                  <c:v>1710</c:v>
                </c:pt>
                <c:pt idx="171">
                  <c:v>1720</c:v>
                </c:pt>
                <c:pt idx="172">
                  <c:v>1730</c:v>
                </c:pt>
                <c:pt idx="173">
                  <c:v>1740</c:v>
                </c:pt>
                <c:pt idx="174">
                  <c:v>1750</c:v>
                </c:pt>
                <c:pt idx="175">
                  <c:v>1760</c:v>
                </c:pt>
                <c:pt idx="176">
                  <c:v>1770</c:v>
                </c:pt>
                <c:pt idx="177">
                  <c:v>1780</c:v>
                </c:pt>
                <c:pt idx="178">
                  <c:v>1790</c:v>
                </c:pt>
                <c:pt idx="179">
                  <c:v>1800</c:v>
                </c:pt>
                <c:pt idx="180">
                  <c:v>1810</c:v>
                </c:pt>
                <c:pt idx="181">
                  <c:v>1820</c:v>
                </c:pt>
                <c:pt idx="182">
                  <c:v>1830</c:v>
                </c:pt>
                <c:pt idx="183">
                  <c:v>1840</c:v>
                </c:pt>
                <c:pt idx="184">
                  <c:v>1850</c:v>
                </c:pt>
                <c:pt idx="185">
                  <c:v>1860</c:v>
                </c:pt>
                <c:pt idx="186">
                  <c:v>1870</c:v>
                </c:pt>
                <c:pt idx="187">
                  <c:v>1880</c:v>
                </c:pt>
                <c:pt idx="188">
                  <c:v>1890</c:v>
                </c:pt>
                <c:pt idx="189">
                  <c:v>1900</c:v>
                </c:pt>
                <c:pt idx="190">
                  <c:v>1910</c:v>
                </c:pt>
                <c:pt idx="191">
                  <c:v>1920</c:v>
                </c:pt>
                <c:pt idx="192">
                  <c:v>1930</c:v>
                </c:pt>
                <c:pt idx="193">
                  <c:v>1940</c:v>
                </c:pt>
                <c:pt idx="194">
                  <c:v>1950</c:v>
                </c:pt>
                <c:pt idx="195">
                  <c:v>1960</c:v>
                </c:pt>
                <c:pt idx="196">
                  <c:v>1970</c:v>
                </c:pt>
                <c:pt idx="197">
                  <c:v>1980</c:v>
                </c:pt>
                <c:pt idx="198">
                  <c:v>1990</c:v>
                </c:pt>
                <c:pt idx="199">
                  <c:v>2000</c:v>
                </c:pt>
                <c:pt idx="200">
                  <c:v>2010</c:v>
                </c:pt>
              </c:numCache>
            </c:numRef>
          </c:cat>
          <c:val>
            <c:numRef>
              <c:f>IntercalsJury1!$AL$117:$AL$317</c:f>
              <c:numCache>
                <c:formatCode>General</c:formatCode>
                <c:ptCount val="201"/>
                <c:pt idx="0">
                  <c:v>151.69530594272473</c:v>
                </c:pt>
                <c:pt idx="1">
                  <c:v>152.57691647977987</c:v>
                </c:pt>
                <c:pt idx="2">
                  <c:v>153.25073273010665</c:v>
                </c:pt>
                <c:pt idx="3">
                  <c:v>153.81694534700861</c:v>
                </c:pt>
                <c:pt idx="4">
                  <c:v>154.31436758560744</c:v>
                </c:pt>
                <c:pt idx="5">
                  <c:v>154.7629078242702</c:v>
                </c:pt>
                <c:pt idx="6">
                  <c:v>155.17439405947721</c:v>
                </c:pt>
                <c:pt idx="7">
                  <c:v>155.5565338590838</c:v>
                </c:pt>
                <c:pt idx="8">
                  <c:v>155.91468159150293</c:v>
                </c:pt>
                <c:pt idx="9">
                  <c:v>156.25273622893602</c:v>
                </c:pt>
                <c:pt idx="10">
                  <c:v>156.57364154918798</c:v>
                </c:pt>
                <c:pt idx="11">
                  <c:v>156.8796848610198</c:v>
                </c:pt>
                <c:pt idx="12">
                  <c:v>157.17268536854488</c:v>
                </c:pt>
                <c:pt idx="13">
                  <c:v>157.4541182599169</c:v>
                </c:pt>
                <c:pt idx="14">
                  <c:v>157.72519945370908</c:v>
                </c:pt>
                <c:pt idx="15">
                  <c:v>157.98694525304609</c:v>
                </c:pt>
                <c:pt idx="16">
                  <c:v>158.24021543172529</c:v>
                </c:pt>
                <c:pt idx="17">
                  <c:v>158.48574505190624</c:v>
                </c:pt>
                <c:pt idx="18">
                  <c:v>158.72416841892792</c:v>
                </c:pt>
                <c:pt idx="19">
                  <c:v>158.95603742538799</c:v>
                </c:pt>
                <c:pt idx="20">
                  <c:v>159.18183581175865</c:v>
                </c:pt>
                <c:pt idx="21">
                  <c:v>159.40199040252116</c:v>
                </c:pt>
                <c:pt idx="22">
                  <c:v>159.61688006676334</c:v>
                </c:pt>
                <c:pt idx="23">
                  <c:v>159.82684294239357</c:v>
                </c:pt>
                <c:pt idx="24">
                  <c:v>160.0321823183545</c:v>
                </c:pt>
                <c:pt idx="25">
                  <c:v>160.23317146753027</c:v>
                </c:pt>
                <c:pt idx="26">
                  <c:v>160.4300576504597</c:v>
                </c:pt>
                <c:pt idx="27">
                  <c:v>160.62306545739386</c:v>
                </c:pt>
                <c:pt idx="28">
                  <c:v>160.8123996176387</c:v>
                </c:pt>
                <c:pt idx="29">
                  <c:v>160.99824737644039</c:v>
                </c:pt>
                <c:pt idx="30">
                  <c:v>161.18078051810394</c:v>
                </c:pt>
                <c:pt idx="31">
                  <c:v>161.36015709765314</c:v>
                </c:pt>
                <c:pt idx="32">
                  <c:v>161.53652293077036</c:v>
                </c:pt>
                <c:pt idx="33">
                  <c:v>161.71001288202419</c:v>
                </c:pt>
                <c:pt idx="34">
                  <c:v>161.880751983794</c:v>
                </c:pt>
                <c:pt idx="35">
                  <c:v>162.04885641232022</c:v>
                </c:pt>
                <c:pt idx="36">
                  <c:v>162.21443434256773</c:v>
                </c:pt>
                <c:pt idx="37">
                  <c:v>162.37758669980209</c:v>
                </c:pt>
                <c:pt idx="38">
                  <c:v>162.53840782273693</c:v>
                </c:pt>
                <c:pt idx="39">
                  <c:v>162.69698605064596</c:v>
                </c:pt>
                <c:pt idx="40">
                  <c:v>162.85340424483394</c:v>
                </c:pt>
                <c:pt idx="41">
                  <c:v>163.00774025322013</c:v>
                </c:pt>
                <c:pt idx="42">
                  <c:v>163.16006732544116</c:v>
                </c:pt>
                <c:pt idx="43">
                  <c:v>163.31045448476752</c:v>
                </c:pt>
                <c:pt idx="44">
                  <c:v>163.45896686220127</c:v>
                </c:pt>
                <c:pt idx="45">
                  <c:v>163.60566599735327</c:v>
                </c:pt>
                <c:pt idx="46">
                  <c:v>163.75061011005022</c:v>
                </c:pt>
                <c:pt idx="47">
                  <c:v>163.89385434607894</c:v>
                </c:pt>
                <c:pt idx="48">
                  <c:v>164.03545100001651</c:v>
                </c:pt>
                <c:pt idx="49">
                  <c:v>164.17544971770505</c:v>
                </c:pt>
                <c:pt idx="50">
                  <c:v>164.31389768059867</c:v>
                </c:pt>
                <c:pt idx="51">
                  <c:v>164.45083977392886</c:v>
                </c:pt>
                <c:pt idx="52">
                  <c:v>164.58631874039085</c:v>
                </c:pt>
                <c:pt idx="53">
                  <c:v>164.72037532084647</c:v>
                </c:pt>
                <c:pt idx="54">
                  <c:v>164.85304838336037</c:v>
                </c:pt>
                <c:pt idx="55">
                  <c:v>164.98437504172955</c:v>
                </c:pt>
                <c:pt idx="56">
                  <c:v>165.11439076453502</c:v>
                </c:pt>
                <c:pt idx="57">
                  <c:v>165.24312947562433</c:v>
                </c:pt>
                <c:pt idx="58">
                  <c:v>165.37062364683587</c:v>
                </c:pt>
                <c:pt idx="59">
                  <c:v>165.49690438368273</c:v>
                </c:pt>
                <c:pt idx="60">
                  <c:v>165.62200150464102</c:v>
                </c:pt>
                <c:pt idx="61">
                  <c:v>165.74594361461479</c:v>
                </c:pt>
                <c:pt idx="62">
                  <c:v>165.86875817309374</c:v>
                </c:pt>
                <c:pt idx="63">
                  <c:v>165.99047155746362</c:v>
                </c:pt>
                <c:pt idx="64">
                  <c:v>166.11110912188505</c:v>
                </c:pt>
                <c:pt idx="65">
                  <c:v>166.23069525211412</c:v>
                </c:pt>
                <c:pt idx="66">
                  <c:v>166.34925341660116</c:v>
                </c:pt>
                <c:pt idx="67">
                  <c:v>166.46680621417252</c:v>
                </c:pt>
                <c:pt idx="68">
                  <c:v>166.58337541857023</c:v>
                </c:pt>
                <c:pt idx="69">
                  <c:v>166.69898202009918</c:v>
                </c:pt>
                <c:pt idx="70">
                  <c:v>166.81364626460842</c:v>
                </c:pt>
                <c:pt idx="71">
                  <c:v>166.92738769001176</c:v>
                </c:pt>
                <c:pt idx="72">
                  <c:v>167.04022516053553</c:v>
                </c:pt>
                <c:pt idx="73">
                  <c:v>167.15217689886353</c:v>
                </c:pt>
                <c:pt idx="74">
                  <c:v>167.26326051633552</c:v>
                </c:pt>
                <c:pt idx="75">
                  <c:v>167.37349304134085</c:v>
                </c:pt>
                <c:pt idx="76">
                  <c:v>167.48289094603763</c:v>
                </c:pt>
                <c:pt idx="77">
                  <c:v>167.59147017151679</c:v>
                </c:pt>
                <c:pt idx="78">
                  <c:v>167.69924615151979</c:v>
                </c:pt>
                <c:pt idx="79">
                  <c:v>167.80623383481105</c:v>
                </c:pt>
                <c:pt idx="80">
                  <c:v>167.91244770629649</c:v>
                </c:pt>
                <c:pt idx="81">
                  <c:v>168.0179018069733</c:v>
                </c:pt>
                <c:pt idx="82">
                  <c:v>168.1226097527896</c:v>
                </c:pt>
                <c:pt idx="83">
                  <c:v>168.22658475248517</c:v>
                </c:pt>
                <c:pt idx="84">
                  <c:v>168.32983962447986</c:v>
                </c:pt>
                <c:pt idx="85">
                  <c:v>168.43238681287193</c:v>
                </c:pt>
                <c:pt idx="86">
                  <c:v>168.53423840260166</c:v>
                </c:pt>
                <c:pt idx="87">
                  <c:v>168.63540613383424</c:v>
                </c:pt>
                <c:pt idx="88">
                  <c:v>168.73590141560962</c:v>
                </c:pt>
                <c:pt idx="89">
                  <c:v>168.83573533880457</c:v>
                </c:pt>
                <c:pt idx="90">
                  <c:v>168.93491868844947</c:v>
                </c:pt>
                <c:pt idx="91">
                  <c:v>169.03346195543804</c:v>
                </c:pt>
                <c:pt idx="92">
                  <c:v>169.13137534766631</c:v>
                </c:pt>
                <c:pt idx="93">
                  <c:v>169.22866880063475</c:v>
                </c:pt>
                <c:pt idx="94">
                  <c:v>169.32535198754456</c:v>
                </c:pt>
                <c:pt idx="95">
                  <c:v>169.42143432891771</c:v>
                </c:pt>
                <c:pt idx="96">
                  <c:v>169.51692500176728</c:v>
                </c:pt>
                <c:pt idx="97">
                  <c:v>169.61183294834424</c:v>
                </c:pt>
                <c:pt idx="98">
                  <c:v>169.70616688448374</c:v>
                </c:pt>
                <c:pt idx="99">
                  <c:v>169.79993530757378</c:v>
                </c:pt>
                <c:pt idx="100">
                  <c:v>169.89314650416603</c:v>
                </c:pt>
                <c:pt idx="101">
                  <c:v>169.98580855724919</c:v>
                </c:pt>
                <c:pt idx="102">
                  <c:v>170.07792935320248</c:v>
                </c:pt>
                <c:pt idx="103">
                  <c:v>170.16951658844638</c:v>
                </c:pt>
                <c:pt idx="104">
                  <c:v>170.26057777580652</c:v>
                </c:pt>
                <c:pt idx="105">
                  <c:v>170.35112025060596</c:v>
                </c:pt>
                <c:pt idx="106">
                  <c:v>170.44115117649963</c:v>
                </c:pt>
                <c:pt idx="107">
                  <c:v>170.53067755106426</c:v>
                </c:pt>
                <c:pt idx="108">
                  <c:v>170.6197062111564</c:v>
                </c:pt>
                <c:pt idx="109">
                  <c:v>170.70824383804953</c:v>
                </c:pt>
                <c:pt idx="110">
                  <c:v>170.79629696236233</c:v>
                </c:pt>
                <c:pt idx="111">
                  <c:v>170.88387196878747</c:v>
                </c:pt>
                <c:pt idx="112">
                  <c:v>170.97097510063108</c:v>
                </c:pt>
                <c:pt idx="113">
                  <c:v>171.05761246417228</c:v>
                </c:pt>
                <c:pt idx="114">
                  <c:v>171.14379003285089</c:v>
                </c:pt>
                <c:pt idx="115">
                  <c:v>171.22951365129222</c:v>
                </c:pt>
                <c:pt idx="116">
                  <c:v>171.31478903917599</c:v>
                </c:pt>
                <c:pt idx="117">
                  <c:v>171.39962179495703</c:v>
                </c:pt>
                <c:pt idx="118">
                  <c:v>171.4840173994445</c:v>
                </c:pt>
                <c:pt idx="119">
                  <c:v>171.56798121924635</c:v>
                </c:pt>
                <c:pt idx="120">
                  <c:v>171.65151851008508</c:v>
                </c:pt>
                <c:pt idx="121">
                  <c:v>171.73463441999041</c:v>
                </c:pt>
                <c:pt idx="122">
                  <c:v>171.81733399237476</c:v>
                </c:pt>
                <c:pt idx="123">
                  <c:v>171.89962216899644</c:v>
                </c:pt>
                <c:pt idx="124">
                  <c:v>171.98150379281591</c:v>
                </c:pt>
                <c:pt idx="125">
                  <c:v>172.06298361074931</c:v>
                </c:pt>
                <c:pt idx="126">
                  <c:v>172.14406627632422</c:v>
                </c:pt>
                <c:pt idx="127">
                  <c:v>172.2247563522412</c:v>
                </c:pt>
                <c:pt idx="128">
                  <c:v>172.30505831284626</c:v>
                </c:pt>
                <c:pt idx="129">
                  <c:v>172.3849765465169</c:v>
                </c:pt>
                <c:pt idx="130">
                  <c:v>172.46451535796569</c:v>
                </c:pt>
                <c:pt idx="131">
                  <c:v>172.54367897046558</c:v>
                </c:pt>
                <c:pt idx="132">
                  <c:v>172.62247152799893</c:v>
                </c:pt>
                <c:pt idx="133">
                  <c:v>172.70089709733463</c:v>
                </c:pt>
                <c:pt idx="134">
                  <c:v>172.77895967003545</c:v>
                </c:pt>
                <c:pt idx="135">
                  <c:v>172.85666316439853</c:v>
                </c:pt>
                <c:pt idx="136">
                  <c:v>172.93401142733228</c:v>
                </c:pt>
                <c:pt idx="137">
                  <c:v>173.01100823617148</c:v>
                </c:pt>
                <c:pt idx="138">
                  <c:v>173.0876573004337</c:v>
                </c:pt>
                <c:pt idx="139">
                  <c:v>173.1639622635187</c:v>
                </c:pt>
                <c:pt idx="140">
                  <c:v>173.23992670435368</c:v>
                </c:pt>
                <c:pt idx="141">
                  <c:v>173.3155541389861</c:v>
                </c:pt>
                <c:pt idx="142">
                  <c:v>173.39084802212622</c:v>
                </c:pt>
                <c:pt idx="143">
                  <c:v>173.46581174864104</c:v>
                </c:pt>
                <c:pt idx="144">
                  <c:v>173.54044865500219</c:v>
                </c:pt>
                <c:pt idx="145">
                  <c:v>173.61476202068846</c:v>
                </c:pt>
                <c:pt idx="146">
                  <c:v>173.68875506954575</c:v>
                </c:pt>
                <c:pt idx="147">
                  <c:v>173.76243097110529</c:v>
                </c:pt>
                <c:pt idx="148">
                  <c:v>173.83579284186175</c:v>
                </c:pt>
                <c:pt idx="149">
                  <c:v>173.90884374651333</c:v>
                </c:pt>
                <c:pt idx="150">
                  <c:v>173.98158669916427</c:v>
                </c:pt>
                <c:pt idx="151">
                  <c:v>174.05402466449209</c:v>
                </c:pt>
                <c:pt idx="152">
                  <c:v>174.12616055888009</c:v>
                </c:pt>
                <c:pt idx="153">
                  <c:v>174.19799725151663</c:v>
                </c:pt>
                <c:pt idx="154">
                  <c:v>174.26953756546277</c:v>
                </c:pt>
                <c:pt idx="155">
                  <c:v>174.34078427868857</c:v>
                </c:pt>
                <c:pt idx="156">
                  <c:v>174.41174012507986</c:v>
                </c:pt>
                <c:pt idx="157">
                  <c:v>174.48240779541618</c:v>
                </c:pt>
                <c:pt idx="158">
                  <c:v>174.55278993832093</c:v>
                </c:pt>
                <c:pt idx="159">
                  <c:v>174.62288916118484</c:v>
                </c:pt>
                <c:pt idx="160">
                  <c:v>174.69270803106329</c:v>
                </c:pt>
                <c:pt idx="161">
                  <c:v>174.76224907554905</c:v>
                </c:pt>
                <c:pt idx="162">
                  <c:v>174.83151478362052</c:v>
                </c:pt>
                <c:pt idx="163">
                  <c:v>174.90050760646662</c:v>
                </c:pt>
                <c:pt idx="164">
                  <c:v>174.96922995828945</c:v>
                </c:pt>
                <c:pt idx="165">
                  <c:v>175.03768421708475</c:v>
                </c:pt>
                <c:pt idx="166">
                  <c:v>175.10587272540147</c:v>
                </c:pt>
                <c:pt idx="167">
                  <c:v>175.17379779108111</c:v>
                </c:pt>
                <c:pt idx="168">
                  <c:v>175.24146168797691</c:v>
                </c:pt>
                <c:pt idx="169">
                  <c:v>175.30886665665423</c:v>
                </c:pt>
                <c:pt idx="170">
                  <c:v>175.37601490507248</c:v>
                </c:pt>
                <c:pt idx="171">
                  <c:v>175.44290860924897</c:v>
                </c:pt>
                <c:pt idx="172">
                  <c:v>175.50954991390577</c:v>
                </c:pt>
                <c:pt idx="173">
                  <c:v>175.57594093309936</c:v>
                </c:pt>
                <c:pt idx="174">
                  <c:v>175.64208375083442</c:v>
                </c:pt>
                <c:pt idx="175">
                  <c:v>175.70798042166186</c:v>
                </c:pt>
                <c:pt idx="176">
                  <c:v>175.77363297126126</c:v>
                </c:pt>
                <c:pt idx="177">
                  <c:v>175.83904339700916</c:v>
                </c:pt>
                <c:pt idx="178">
                  <c:v>175.90421366853224</c:v>
                </c:pt>
                <c:pt idx="179">
                  <c:v>175.96914572824761</c:v>
                </c:pt>
                <c:pt idx="180">
                  <c:v>176.03384149188864</c:v>
                </c:pt>
                <c:pt idx="181">
                  <c:v>176.09830284901849</c:v>
                </c:pt>
                <c:pt idx="182">
                  <c:v>176.16253166353081</c:v>
                </c:pt>
                <c:pt idx="183">
                  <c:v>176.22652977413776</c:v>
                </c:pt>
                <c:pt idx="184">
                  <c:v>176.29029899484686</c:v>
                </c:pt>
                <c:pt idx="185">
                  <c:v>176.35384111542555</c:v>
                </c:pt>
                <c:pt idx="186">
                  <c:v>176.41715790185532</c:v>
                </c:pt>
                <c:pt idx="187">
                  <c:v>176.48025109677394</c:v>
                </c:pt>
                <c:pt idx="188">
                  <c:v>176.54312241990823</c:v>
                </c:pt>
                <c:pt idx="189">
                  <c:v>176.60577356849586</c:v>
                </c:pt>
                <c:pt idx="190">
                  <c:v>176.66820621769742</c:v>
                </c:pt>
                <c:pt idx="191">
                  <c:v>176.73042202099865</c:v>
                </c:pt>
                <c:pt idx="192">
                  <c:v>176.79242261060364</c:v>
                </c:pt>
                <c:pt idx="193">
                  <c:v>176.85420959781865</c:v>
                </c:pt>
                <c:pt idx="194">
                  <c:v>176.91578457342675</c:v>
                </c:pt>
                <c:pt idx="195">
                  <c:v>176.97714910805468</c:v>
                </c:pt>
                <c:pt idx="196">
                  <c:v>177.03830475253028</c:v>
                </c:pt>
                <c:pt idx="197">
                  <c:v>177.09925303823283</c:v>
                </c:pt>
                <c:pt idx="198">
                  <c:v>177.15999547743445</c:v>
                </c:pt>
                <c:pt idx="199">
                  <c:v>177.22053356363475</c:v>
                </c:pt>
                <c:pt idx="200">
                  <c:v>177.28086877188713</c:v>
                </c:pt>
              </c:numCache>
            </c:numRef>
          </c:val>
          <c:smooth val="0"/>
          <c:extLst>
            <c:ext xmlns:c16="http://schemas.microsoft.com/office/drawing/2014/chart" uri="{C3380CC4-5D6E-409C-BE32-E72D297353CC}">
              <c16:uniqueId val="{00000000-69CC-4106-ABB1-FC1B67651A72}"/>
            </c:ext>
          </c:extLst>
        </c:ser>
        <c:dLbls>
          <c:showLegendKey val="0"/>
          <c:showVal val="0"/>
          <c:showCatName val="0"/>
          <c:showSerName val="0"/>
          <c:showPercent val="0"/>
          <c:showBubbleSize val="0"/>
        </c:dLbls>
        <c:marker val="1"/>
        <c:smooth val="0"/>
        <c:axId val="489850928"/>
        <c:axId val="1"/>
      </c:lineChart>
      <c:catAx>
        <c:axId val="4898509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(days)</a:t>
                </a:r>
              </a:p>
            </c:rich>
          </c:tx>
          <c:layout>
            <c:manualLayout>
              <c:xMode val="edge"/>
              <c:yMode val="edge"/>
              <c:x val="0.47764307404072709"/>
              <c:y val="0.928517426367481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Soil gas (ug/l)</a:t>
                </a:r>
              </a:p>
            </c:rich>
          </c:tx>
          <c:layout>
            <c:manualLayout>
              <c:xMode val="edge"/>
              <c:yMode val="edge"/>
              <c:x val="2.3478431490451183E-3"/>
              <c:y val="0.23593049575501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8509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Sorbed phase concentration (ug/kg) versus Time (days)</a:t>
            </a:r>
          </a:p>
        </c:rich>
      </c:tx>
      <c:layout>
        <c:manualLayout>
          <c:xMode val="edge"/>
          <c:yMode val="edge"/>
          <c:x val="0.11812627291242363"/>
          <c:y val="3.6666666666666667E-2"/>
        </c:manualLayout>
      </c:layout>
      <c:overlay val="0"/>
      <c:spPr>
        <a:noFill/>
        <a:ln w="25400">
          <a:noFill/>
        </a:ln>
      </c:spPr>
    </c:title>
    <c:autoTitleDeleted val="0"/>
    <c:plotArea>
      <c:layout>
        <c:manualLayout>
          <c:layoutTarget val="inner"/>
          <c:xMode val="edge"/>
          <c:yMode val="edge"/>
          <c:x val="0.20230733444837753"/>
          <c:y val="0.18592703822483578"/>
          <c:w val="0.7754387915115285"/>
          <c:h val="0.52444574965128332"/>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IntercalsJury1!$B$117:$B$267</c:f>
              <c:numCache>
                <c:formatCode>General</c:formatCode>
                <c:ptCount val="15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310</c:v>
                </c:pt>
                <c:pt idx="31">
                  <c:v>320</c:v>
                </c:pt>
                <c:pt idx="32">
                  <c:v>330</c:v>
                </c:pt>
                <c:pt idx="33">
                  <c:v>340</c:v>
                </c:pt>
                <c:pt idx="34">
                  <c:v>350</c:v>
                </c:pt>
                <c:pt idx="35">
                  <c:v>360</c:v>
                </c:pt>
                <c:pt idx="36">
                  <c:v>370</c:v>
                </c:pt>
                <c:pt idx="37">
                  <c:v>380</c:v>
                </c:pt>
                <c:pt idx="38">
                  <c:v>390</c:v>
                </c:pt>
                <c:pt idx="39">
                  <c:v>400</c:v>
                </c:pt>
                <c:pt idx="40">
                  <c:v>410</c:v>
                </c:pt>
                <c:pt idx="41">
                  <c:v>420</c:v>
                </c:pt>
                <c:pt idx="42">
                  <c:v>430</c:v>
                </c:pt>
                <c:pt idx="43">
                  <c:v>440</c:v>
                </c:pt>
                <c:pt idx="44">
                  <c:v>450</c:v>
                </c:pt>
                <c:pt idx="45">
                  <c:v>460</c:v>
                </c:pt>
                <c:pt idx="46">
                  <c:v>470</c:v>
                </c:pt>
                <c:pt idx="47">
                  <c:v>480</c:v>
                </c:pt>
                <c:pt idx="48">
                  <c:v>490</c:v>
                </c:pt>
                <c:pt idx="49">
                  <c:v>500</c:v>
                </c:pt>
                <c:pt idx="50">
                  <c:v>510</c:v>
                </c:pt>
                <c:pt idx="51">
                  <c:v>520</c:v>
                </c:pt>
                <c:pt idx="52">
                  <c:v>530</c:v>
                </c:pt>
                <c:pt idx="53">
                  <c:v>540</c:v>
                </c:pt>
                <c:pt idx="54">
                  <c:v>550</c:v>
                </c:pt>
                <c:pt idx="55">
                  <c:v>560</c:v>
                </c:pt>
                <c:pt idx="56">
                  <c:v>570</c:v>
                </c:pt>
                <c:pt idx="57">
                  <c:v>580</c:v>
                </c:pt>
                <c:pt idx="58">
                  <c:v>590</c:v>
                </c:pt>
                <c:pt idx="59">
                  <c:v>600</c:v>
                </c:pt>
                <c:pt idx="60">
                  <c:v>610</c:v>
                </c:pt>
                <c:pt idx="61">
                  <c:v>620</c:v>
                </c:pt>
                <c:pt idx="62">
                  <c:v>630</c:v>
                </c:pt>
                <c:pt idx="63">
                  <c:v>640</c:v>
                </c:pt>
                <c:pt idx="64">
                  <c:v>650</c:v>
                </c:pt>
                <c:pt idx="65">
                  <c:v>660</c:v>
                </c:pt>
                <c:pt idx="66">
                  <c:v>670</c:v>
                </c:pt>
                <c:pt idx="67">
                  <c:v>680</c:v>
                </c:pt>
                <c:pt idx="68">
                  <c:v>690</c:v>
                </c:pt>
                <c:pt idx="69">
                  <c:v>700</c:v>
                </c:pt>
                <c:pt idx="70">
                  <c:v>710</c:v>
                </c:pt>
                <c:pt idx="71">
                  <c:v>720</c:v>
                </c:pt>
                <c:pt idx="72">
                  <c:v>730</c:v>
                </c:pt>
                <c:pt idx="73">
                  <c:v>740</c:v>
                </c:pt>
                <c:pt idx="74">
                  <c:v>750</c:v>
                </c:pt>
                <c:pt idx="75">
                  <c:v>760</c:v>
                </c:pt>
                <c:pt idx="76">
                  <c:v>770</c:v>
                </c:pt>
                <c:pt idx="77">
                  <c:v>780</c:v>
                </c:pt>
                <c:pt idx="78">
                  <c:v>790</c:v>
                </c:pt>
                <c:pt idx="79">
                  <c:v>800</c:v>
                </c:pt>
                <c:pt idx="80">
                  <c:v>810</c:v>
                </c:pt>
                <c:pt idx="81">
                  <c:v>820</c:v>
                </c:pt>
                <c:pt idx="82">
                  <c:v>830</c:v>
                </c:pt>
                <c:pt idx="83">
                  <c:v>840</c:v>
                </c:pt>
                <c:pt idx="84">
                  <c:v>850</c:v>
                </c:pt>
                <c:pt idx="85">
                  <c:v>860</c:v>
                </c:pt>
                <c:pt idx="86">
                  <c:v>870</c:v>
                </c:pt>
                <c:pt idx="87">
                  <c:v>880</c:v>
                </c:pt>
                <c:pt idx="88">
                  <c:v>890</c:v>
                </c:pt>
                <c:pt idx="89">
                  <c:v>900</c:v>
                </c:pt>
                <c:pt idx="90">
                  <c:v>910</c:v>
                </c:pt>
                <c:pt idx="91">
                  <c:v>920</c:v>
                </c:pt>
                <c:pt idx="92">
                  <c:v>930</c:v>
                </c:pt>
                <c:pt idx="93">
                  <c:v>940</c:v>
                </c:pt>
                <c:pt idx="94">
                  <c:v>950</c:v>
                </c:pt>
                <c:pt idx="95">
                  <c:v>960</c:v>
                </c:pt>
                <c:pt idx="96">
                  <c:v>970</c:v>
                </c:pt>
                <c:pt idx="97">
                  <c:v>980</c:v>
                </c:pt>
                <c:pt idx="98">
                  <c:v>990</c:v>
                </c:pt>
                <c:pt idx="99">
                  <c:v>1000</c:v>
                </c:pt>
                <c:pt idx="100">
                  <c:v>1010</c:v>
                </c:pt>
                <c:pt idx="101">
                  <c:v>1020</c:v>
                </c:pt>
                <c:pt idx="102">
                  <c:v>1030</c:v>
                </c:pt>
                <c:pt idx="103">
                  <c:v>1040</c:v>
                </c:pt>
                <c:pt idx="104">
                  <c:v>1050</c:v>
                </c:pt>
                <c:pt idx="105">
                  <c:v>1060</c:v>
                </c:pt>
                <c:pt idx="106">
                  <c:v>1070</c:v>
                </c:pt>
                <c:pt idx="107">
                  <c:v>1080</c:v>
                </c:pt>
                <c:pt idx="108">
                  <c:v>1090</c:v>
                </c:pt>
                <c:pt idx="109">
                  <c:v>1100</c:v>
                </c:pt>
                <c:pt idx="110">
                  <c:v>1110</c:v>
                </c:pt>
                <c:pt idx="111">
                  <c:v>1120</c:v>
                </c:pt>
                <c:pt idx="112">
                  <c:v>1130</c:v>
                </c:pt>
                <c:pt idx="113">
                  <c:v>1140</c:v>
                </c:pt>
                <c:pt idx="114">
                  <c:v>1150</c:v>
                </c:pt>
                <c:pt idx="115">
                  <c:v>1160</c:v>
                </c:pt>
                <c:pt idx="116">
                  <c:v>1170</c:v>
                </c:pt>
                <c:pt idx="117">
                  <c:v>1180</c:v>
                </c:pt>
                <c:pt idx="118">
                  <c:v>1190</c:v>
                </c:pt>
                <c:pt idx="119">
                  <c:v>1200</c:v>
                </c:pt>
                <c:pt idx="120">
                  <c:v>1210</c:v>
                </c:pt>
                <c:pt idx="121">
                  <c:v>1220</c:v>
                </c:pt>
                <c:pt idx="122">
                  <c:v>1230</c:v>
                </c:pt>
                <c:pt idx="123">
                  <c:v>1240</c:v>
                </c:pt>
                <c:pt idx="124">
                  <c:v>1250</c:v>
                </c:pt>
                <c:pt idx="125">
                  <c:v>1260</c:v>
                </c:pt>
                <c:pt idx="126">
                  <c:v>1270</c:v>
                </c:pt>
                <c:pt idx="127">
                  <c:v>1280</c:v>
                </c:pt>
                <c:pt idx="128">
                  <c:v>1290</c:v>
                </c:pt>
                <c:pt idx="129">
                  <c:v>1300</c:v>
                </c:pt>
                <c:pt idx="130">
                  <c:v>1310</c:v>
                </c:pt>
                <c:pt idx="131">
                  <c:v>1320</c:v>
                </c:pt>
                <c:pt idx="132">
                  <c:v>1330</c:v>
                </c:pt>
                <c:pt idx="133">
                  <c:v>1340</c:v>
                </c:pt>
                <c:pt idx="134">
                  <c:v>1350</c:v>
                </c:pt>
                <c:pt idx="135">
                  <c:v>1360</c:v>
                </c:pt>
                <c:pt idx="136">
                  <c:v>1370</c:v>
                </c:pt>
                <c:pt idx="137">
                  <c:v>1380</c:v>
                </c:pt>
                <c:pt idx="138">
                  <c:v>1390</c:v>
                </c:pt>
                <c:pt idx="139">
                  <c:v>1400</c:v>
                </c:pt>
                <c:pt idx="140">
                  <c:v>1410</c:v>
                </c:pt>
                <c:pt idx="141">
                  <c:v>1420</c:v>
                </c:pt>
                <c:pt idx="142">
                  <c:v>1430</c:v>
                </c:pt>
                <c:pt idx="143">
                  <c:v>1440</c:v>
                </c:pt>
                <c:pt idx="144">
                  <c:v>1450</c:v>
                </c:pt>
                <c:pt idx="145">
                  <c:v>1460</c:v>
                </c:pt>
                <c:pt idx="146">
                  <c:v>1470</c:v>
                </c:pt>
                <c:pt idx="147">
                  <c:v>1480</c:v>
                </c:pt>
                <c:pt idx="148">
                  <c:v>1490</c:v>
                </c:pt>
                <c:pt idx="149">
                  <c:v>1500</c:v>
                </c:pt>
                <c:pt idx="150">
                  <c:v>1510</c:v>
                </c:pt>
              </c:numCache>
            </c:numRef>
          </c:cat>
          <c:val>
            <c:numRef>
              <c:f>IntercalsJury1!$AN$117:$AN$267</c:f>
              <c:numCache>
                <c:formatCode>General</c:formatCode>
                <c:ptCount val="151"/>
                <c:pt idx="0">
                  <c:v>0.15169530594272473</c:v>
                </c:pt>
                <c:pt idx="1">
                  <c:v>0.15257691647977989</c:v>
                </c:pt>
                <c:pt idx="2">
                  <c:v>0.15325073273010667</c:v>
                </c:pt>
                <c:pt idx="3">
                  <c:v>0.15381694534700863</c:v>
                </c:pt>
                <c:pt idx="4">
                  <c:v>0.15431436758560746</c:v>
                </c:pt>
                <c:pt idx="5">
                  <c:v>0.15476290782427021</c:v>
                </c:pt>
                <c:pt idx="6">
                  <c:v>0.15517439405947722</c:v>
                </c:pt>
                <c:pt idx="7">
                  <c:v>0.1555565338590838</c:v>
                </c:pt>
                <c:pt idx="8">
                  <c:v>0.15591468159150293</c:v>
                </c:pt>
                <c:pt idx="9">
                  <c:v>0.15625273622893601</c:v>
                </c:pt>
                <c:pt idx="10">
                  <c:v>0.15657364154918801</c:v>
                </c:pt>
                <c:pt idx="11">
                  <c:v>0.15687968486101983</c:v>
                </c:pt>
                <c:pt idx="12">
                  <c:v>0.1571726853685449</c:v>
                </c:pt>
                <c:pt idx="13">
                  <c:v>0.1574541182599169</c:v>
                </c:pt>
                <c:pt idx="14">
                  <c:v>0.15772519945370911</c:v>
                </c:pt>
                <c:pt idx="15">
                  <c:v>0.1579869452530461</c:v>
                </c:pt>
                <c:pt idx="16">
                  <c:v>0.15824021543172531</c:v>
                </c:pt>
                <c:pt idx="17">
                  <c:v>0.15848574505190624</c:v>
                </c:pt>
                <c:pt idx="18">
                  <c:v>0.15872416841892792</c:v>
                </c:pt>
                <c:pt idx="19">
                  <c:v>0.158956037425388</c:v>
                </c:pt>
                <c:pt idx="20">
                  <c:v>0.15918183581175865</c:v>
                </c:pt>
                <c:pt idx="21">
                  <c:v>0.15940199040252118</c:v>
                </c:pt>
                <c:pt idx="22">
                  <c:v>0.15961688006676336</c:v>
                </c:pt>
                <c:pt idx="23">
                  <c:v>0.15982684294239358</c:v>
                </c:pt>
                <c:pt idx="24">
                  <c:v>0.1600321823183545</c:v>
                </c:pt>
                <c:pt idx="25">
                  <c:v>0.16023317146753027</c:v>
                </c:pt>
                <c:pt idx="26">
                  <c:v>0.1604300576504597</c:v>
                </c:pt>
                <c:pt idx="27">
                  <c:v>0.16062306545739388</c:v>
                </c:pt>
                <c:pt idx="28">
                  <c:v>0.16081239961763871</c:v>
                </c:pt>
                <c:pt idx="29">
                  <c:v>0.16099824737644039</c:v>
                </c:pt>
                <c:pt idx="30">
                  <c:v>0.16118078051810394</c:v>
                </c:pt>
                <c:pt idx="31">
                  <c:v>0.16136015709765317</c:v>
                </c:pt>
                <c:pt idx="32">
                  <c:v>0.16153652293077037</c:v>
                </c:pt>
                <c:pt idx="33">
                  <c:v>0.16171001288202419</c:v>
                </c:pt>
                <c:pt idx="34">
                  <c:v>0.16188075198379404</c:v>
                </c:pt>
                <c:pt idx="35">
                  <c:v>0.16204885641232025</c:v>
                </c:pt>
                <c:pt idx="36">
                  <c:v>0.16221443434256774</c:v>
                </c:pt>
                <c:pt idx="37">
                  <c:v>0.1623775866998021</c:v>
                </c:pt>
                <c:pt idx="38">
                  <c:v>0.16253840782273696</c:v>
                </c:pt>
                <c:pt idx="39">
                  <c:v>0.16269698605064595</c:v>
                </c:pt>
                <c:pt idx="40">
                  <c:v>0.16285340424483397</c:v>
                </c:pt>
                <c:pt idx="41">
                  <c:v>0.16300774025322015</c:v>
                </c:pt>
                <c:pt idx="42">
                  <c:v>0.16316006732544119</c:v>
                </c:pt>
                <c:pt idx="43">
                  <c:v>0.16331045448476753</c:v>
                </c:pt>
                <c:pt idx="44">
                  <c:v>0.16345896686220127</c:v>
                </c:pt>
                <c:pt idx="45">
                  <c:v>0.16360566599735329</c:v>
                </c:pt>
                <c:pt idx="46">
                  <c:v>0.16375061011005024</c:v>
                </c:pt>
                <c:pt idx="47">
                  <c:v>0.16389385434607895</c:v>
                </c:pt>
                <c:pt idx="48">
                  <c:v>0.16403545100001651</c:v>
                </c:pt>
                <c:pt idx="49">
                  <c:v>0.16417544971770506</c:v>
                </c:pt>
                <c:pt idx="50">
                  <c:v>0.16431389768059868</c:v>
                </c:pt>
                <c:pt idx="51">
                  <c:v>0.16445083977392885</c:v>
                </c:pt>
                <c:pt idx="52">
                  <c:v>0.16458631874039087</c:v>
                </c:pt>
                <c:pt idx="53">
                  <c:v>0.16472037532084649</c:v>
                </c:pt>
                <c:pt idx="54">
                  <c:v>0.16485304838336037</c:v>
                </c:pt>
                <c:pt idx="55">
                  <c:v>0.16498437504172958</c:v>
                </c:pt>
                <c:pt idx="56">
                  <c:v>0.16511439076453502</c:v>
                </c:pt>
                <c:pt idx="57">
                  <c:v>0.16524312947562433</c:v>
                </c:pt>
                <c:pt idx="58">
                  <c:v>0.16537062364683588</c:v>
                </c:pt>
                <c:pt idx="59">
                  <c:v>0.16549690438368272</c:v>
                </c:pt>
                <c:pt idx="60">
                  <c:v>0.16562200150464104</c:v>
                </c:pt>
                <c:pt idx="61">
                  <c:v>0.16574594361461478</c:v>
                </c:pt>
                <c:pt idx="62">
                  <c:v>0.16586875817309377</c:v>
                </c:pt>
                <c:pt idx="63">
                  <c:v>0.16599047155746363</c:v>
                </c:pt>
                <c:pt idx="64">
                  <c:v>0.16611110912188506</c:v>
                </c:pt>
                <c:pt idx="65">
                  <c:v>0.16623069525211412</c:v>
                </c:pt>
                <c:pt idx="66">
                  <c:v>0.16634925341660117</c:v>
                </c:pt>
                <c:pt idx="67">
                  <c:v>0.16646680621417254</c:v>
                </c:pt>
                <c:pt idx="68">
                  <c:v>0.16658337541857024</c:v>
                </c:pt>
                <c:pt idx="69">
                  <c:v>0.1666989820200992</c:v>
                </c:pt>
                <c:pt idx="70">
                  <c:v>0.16681364626460843</c:v>
                </c:pt>
                <c:pt idx="71">
                  <c:v>0.16692738769001178</c:v>
                </c:pt>
                <c:pt idx="72">
                  <c:v>0.16704022516053554</c:v>
                </c:pt>
                <c:pt idx="73">
                  <c:v>0.16715217689886352</c:v>
                </c:pt>
                <c:pt idx="74">
                  <c:v>0.16726326051633553</c:v>
                </c:pt>
                <c:pt idx="75">
                  <c:v>0.16737349304134086</c:v>
                </c:pt>
                <c:pt idx="76">
                  <c:v>0.16748289094603763</c:v>
                </c:pt>
                <c:pt idx="77">
                  <c:v>0.16759147017151679</c:v>
                </c:pt>
                <c:pt idx="78">
                  <c:v>0.16769924615151979</c:v>
                </c:pt>
                <c:pt idx="79">
                  <c:v>0.16780623383481108</c:v>
                </c:pt>
                <c:pt idx="80">
                  <c:v>0.16791244770629649</c:v>
                </c:pt>
                <c:pt idx="81">
                  <c:v>0.16801790180697329</c:v>
                </c:pt>
                <c:pt idx="82">
                  <c:v>0.16812260975278961</c:v>
                </c:pt>
                <c:pt idx="83">
                  <c:v>0.16822658475248517</c:v>
                </c:pt>
                <c:pt idx="84">
                  <c:v>0.16832983962447987</c:v>
                </c:pt>
                <c:pt idx="85">
                  <c:v>0.16843238681287195</c:v>
                </c:pt>
                <c:pt idx="86">
                  <c:v>0.16853423840260168</c:v>
                </c:pt>
                <c:pt idx="87">
                  <c:v>0.16863540613383424</c:v>
                </c:pt>
                <c:pt idx="88">
                  <c:v>0.16873590141560962</c:v>
                </c:pt>
                <c:pt idx="89">
                  <c:v>0.16883573533880458</c:v>
                </c:pt>
                <c:pt idx="90">
                  <c:v>0.16893491868844948</c:v>
                </c:pt>
                <c:pt idx="91">
                  <c:v>0.16903346195543806</c:v>
                </c:pt>
                <c:pt idx="92">
                  <c:v>0.16913137534766631</c:v>
                </c:pt>
                <c:pt idx="93">
                  <c:v>0.16922866880063475</c:v>
                </c:pt>
                <c:pt idx="94">
                  <c:v>0.16932535198754456</c:v>
                </c:pt>
                <c:pt idx="95">
                  <c:v>0.16942143432891771</c:v>
                </c:pt>
                <c:pt idx="96">
                  <c:v>0.16951692500176729</c:v>
                </c:pt>
                <c:pt idx="97">
                  <c:v>0.16961183294834425</c:v>
                </c:pt>
                <c:pt idx="98">
                  <c:v>0.16970616688448376</c:v>
                </c:pt>
                <c:pt idx="99">
                  <c:v>0.16979993530757378</c:v>
                </c:pt>
                <c:pt idx="100">
                  <c:v>0.16989314650416604</c:v>
                </c:pt>
                <c:pt idx="101">
                  <c:v>0.16998580855724921</c:v>
                </c:pt>
                <c:pt idx="102">
                  <c:v>0.17007792935320248</c:v>
                </c:pt>
                <c:pt idx="103">
                  <c:v>0.1701695165884464</c:v>
                </c:pt>
                <c:pt idx="104">
                  <c:v>0.17026057777580653</c:v>
                </c:pt>
                <c:pt idx="105">
                  <c:v>0.17035112025060598</c:v>
                </c:pt>
                <c:pt idx="106">
                  <c:v>0.17044115117649963</c:v>
                </c:pt>
                <c:pt idx="107">
                  <c:v>0.17053067755106427</c:v>
                </c:pt>
                <c:pt idx="108">
                  <c:v>0.17061970621115641</c:v>
                </c:pt>
                <c:pt idx="109">
                  <c:v>0.17070824383804953</c:v>
                </c:pt>
                <c:pt idx="110">
                  <c:v>0.17079629696236237</c:v>
                </c:pt>
                <c:pt idx="111">
                  <c:v>0.17088387196878749</c:v>
                </c:pt>
                <c:pt idx="112">
                  <c:v>0.17097097510063108</c:v>
                </c:pt>
                <c:pt idx="113">
                  <c:v>0.17105761246417228</c:v>
                </c:pt>
                <c:pt idx="114">
                  <c:v>0.17114379003285091</c:v>
                </c:pt>
                <c:pt idx="115">
                  <c:v>0.17122951365129224</c:v>
                </c:pt>
                <c:pt idx="116">
                  <c:v>0.17131478903917599</c:v>
                </c:pt>
                <c:pt idx="117">
                  <c:v>0.17139962179495702</c:v>
                </c:pt>
                <c:pt idx="118">
                  <c:v>0.17148401739944449</c:v>
                </c:pt>
                <c:pt idx="119">
                  <c:v>0.17156798121924638</c:v>
                </c:pt>
                <c:pt idx="120">
                  <c:v>0.17165151851008509</c:v>
                </c:pt>
                <c:pt idx="121">
                  <c:v>0.17173463441999043</c:v>
                </c:pt>
                <c:pt idx="122">
                  <c:v>0.17181733399237478</c:v>
                </c:pt>
                <c:pt idx="123">
                  <c:v>0.17189962216899646</c:v>
                </c:pt>
                <c:pt idx="124">
                  <c:v>0.17198150379281593</c:v>
                </c:pt>
                <c:pt idx="125">
                  <c:v>0.17206298361074931</c:v>
                </c:pt>
                <c:pt idx="126">
                  <c:v>0.17214406627632423</c:v>
                </c:pt>
                <c:pt idx="127">
                  <c:v>0.17222475635224122</c:v>
                </c:pt>
                <c:pt idx="128">
                  <c:v>0.17230505831284629</c:v>
                </c:pt>
                <c:pt idx="129">
                  <c:v>0.17238497654651691</c:v>
                </c:pt>
                <c:pt idx="130">
                  <c:v>0.17246451535796573</c:v>
                </c:pt>
                <c:pt idx="131">
                  <c:v>0.17254367897046557</c:v>
                </c:pt>
                <c:pt idx="132">
                  <c:v>0.17262247152799892</c:v>
                </c:pt>
                <c:pt idx="133">
                  <c:v>0.17270089709733466</c:v>
                </c:pt>
                <c:pt idx="134">
                  <c:v>0.17277895967003548</c:v>
                </c:pt>
                <c:pt idx="135">
                  <c:v>0.17285666316439854</c:v>
                </c:pt>
                <c:pt idx="136">
                  <c:v>0.17293401142733228</c:v>
                </c:pt>
                <c:pt idx="137">
                  <c:v>0.17301100823617149</c:v>
                </c:pt>
                <c:pt idx="138">
                  <c:v>0.17308765730043371</c:v>
                </c:pt>
                <c:pt idx="139">
                  <c:v>0.17316396226351871</c:v>
                </c:pt>
                <c:pt idx="140">
                  <c:v>0.17323992670435368</c:v>
                </c:pt>
                <c:pt idx="141">
                  <c:v>0.17331555413898611</c:v>
                </c:pt>
                <c:pt idx="142">
                  <c:v>0.17339084802212623</c:v>
                </c:pt>
                <c:pt idx="143">
                  <c:v>0.17346581174864106</c:v>
                </c:pt>
                <c:pt idx="144">
                  <c:v>0.17354044865500221</c:v>
                </c:pt>
                <c:pt idx="145">
                  <c:v>0.17361476202068846</c:v>
                </c:pt>
                <c:pt idx="146">
                  <c:v>0.17368875506954579</c:v>
                </c:pt>
                <c:pt idx="147">
                  <c:v>0.1737624309711053</c:v>
                </c:pt>
                <c:pt idx="148">
                  <c:v>0.17383579284186176</c:v>
                </c:pt>
                <c:pt idx="149">
                  <c:v>0.17390884374651333</c:v>
                </c:pt>
                <c:pt idx="150">
                  <c:v>0.17398158669916428</c:v>
                </c:pt>
              </c:numCache>
            </c:numRef>
          </c:val>
          <c:smooth val="0"/>
          <c:extLst>
            <c:ext xmlns:c16="http://schemas.microsoft.com/office/drawing/2014/chart" uri="{C3380CC4-5D6E-409C-BE32-E72D297353CC}">
              <c16:uniqueId val="{00000000-6D69-4AD0-9617-5B11ECC40477}"/>
            </c:ext>
          </c:extLst>
        </c:ser>
        <c:dLbls>
          <c:showLegendKey val="0"/>
          <c:showVal val="0"/>
          <c:showCatName val="0"/>
          <c:showSerName val="0"/>
          <c:showPercent val="0"/>
          <c:showBubbleSize val="0"/>
        </c:dLbls>
        <c:marker val="1"/>
        <c:smooth val="0"/>
        <c:axId val="489852568"/>
        <c:axId val="1"/>
      </c:lineChart>
      <c:catAx>
        <c:axId val="4898525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(days)</a:t>
                </a:r>
              </a:p>
            </c:rich>
          </c:tx>
          <c:layout>
            <c:manualLayout>
              <c:xMode val="edge"/>
              <c:yMode val="edge"/>
              <c:x val="0.47094371031215437"/>
              <c:y val="0.917621718023075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(ug/kg)</a:t>
                </a:r>
              </a:p>
            </c:rich>
          </c:tx>
          <c:layout>
            <c:manualLayout>
              <c:xMode val="edge"/>
              <c:yMode val="edge"/>
              <c:x val="3.8847210991782739E-3"/>
              <c:y val="0.216720575755972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8525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C/Co versus depth at specified time and vadose time properties</a:t>
            </a:r>
          </a:p>
        </c:rich>
      </c:tx>
      <c:layout>
        <c:manualLayout>
          <c:xMode val="edge"/>
          <c:yMode val="edge"/>
          <c:x val="0.1585367987538143"/>
          <c:y val="3.6544850498338874E-2"/>
        </c:manualLayout>
      </c:layout>
      <c:overlay val="0"/>
      <c:spPr>
        <a:noFill/>
        <a:ln w="25400">
          <a:noFill/>
        </a:ln>
      </c:spPr>
    </c:title>
    <c:autoTitleDeleted val="0"/>
    <c:plotArea>
      <c:layout>
        <c:manualLayout>
          <c:layoutTarget val="inner"/>
          <c:xMode val="edge"/>
          <c:yMode val="edge"/>
          <c:x val="0.15634550407097034"/>
          <c:y val="0.1097436349868031"/>
          <c:w val="0.83130246304636501"/>
          <c:h val="0.4817283562090495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IntercalcsJury2!$B$114:$B$263</c:f>
              <c:numCache>
                <c:formatCode>General</c:formatCode>
                <c:ptCount val="1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pt idx="100">
                  <c:v>2020</c:v>
                </c:pt>
                <c:pt idx="101">
                  <c:v>2040</c:v>
                </c:pt>
                <c:pt idx="102">
                  <c:v>2060</c:v>
                </c:pt>
                <c:pt idx="103">
                  <c:v>2080</c:v>
                </c:pt>
                <c:pt idx="104">
                  <c:v>2100</c:v>
                </c:pt>
                <c:pt idx="105">
                  <c:v>2120</c:v>
                </c:pt>
                <c:pt idx="106">
                  <c:v>2140</c:v>
                </c:pt>
                <c:pt idx="107">
                  <c:v>2160</c:v>
                </c:pt>
                <c:pt idx="108">
                  <c:v>2180</c:v>
                </c:pt>
                <c:pt idx="109">
                  <c:v>2200</c:v>
                </c:pt>
                <c:pt idx="110">
                  <c:v>2220</c:v>
                </c:pt>
                <c:pt idx="111">
                  <c:v>2240</c:v>
                </c:pt>
                <c:pt idx="112">
                  <c:v>2260</c:v>
                </c:pt>
                <c:pt idx="113">
                  <c:v>2280</c:v>
                </c:pt>
                <c:pt idx="114">
                  <c:v>2300</c:v>
                </c:pt>
                <c:pt idx="115">
                  <c:v>2320</c:v>
                </c:pt>
                <c:pt idx="116">
                  <c:v>2340</c:v>
                </c:pt>
                <c:pt idx="117">
                  <c:v>2360</c:v>
                </c:pt>
                <c:pt idx="118">
                  <c:v>2380</c:v>
                </c:pt>
                <c:pt idx="119">
                  <c:v>2400</c:v>
                </c:pt>
                <c:pt idx="120">
                  <c:v>2420</c:v>
                </c:pt>
                <c:pt idx="121">
                  <c:v>2440</c:v>
                </c:pt>
                <c:pt idx="122">
                  <c:v>2460</c:v>
                </c:pt>
                <c:pt idx="123">
                  <c:v>2480</c:v>
                </c:pt>
                <c:pt idx="124">
                  <c:v>2500</c:v>
                </c:pt>
                <c:pt idx="125">
                  <c:v>2520</c:v>
                </c:pt>
                <c:pt idx="126">
                  <c:v>2540</c:v>
                </c:pt>
                <c:pt idx="127">
                  <c:v>2560</c:v>
                </c:pt>
                <c:pt idx="128">
                  <c:v>2580</c:v>
                </c:pt>
                <c:pt idx="129">
                  <c:v>2600</c:v>
                </c:pt>
                <c:pt idx="130">
                  <c:v>2620</c:v>
                </c:pt>
                <c:pt idx="131">
                  <c:v>2640</c:v>
                </c:pt>
                <c:pt idx="132">
                  <c:v>2660</c:v>
                </c:pt>
                <c:pt idx="133">
                  <c:v>2680</c:v>
                </c:pt>
                <c:pt idx="134">
                  <c:v>2700</c:v>
                </c:pt>
                <c:pt idx="135">
                  <c:v>2720</c:v>
                </c:pt>
                <c:pt idx="136">
                  <c:v>2740</c:v>
                </c:pt>
                <c:pt idx="137">
                  <c:v>2760</c:v>
                </c:pt>
                <c:pt idx="138">
                  <c:v>2780</c:v>
                </c:pt>
                <c:pt idx="139">
                  <c:v>2800</c:v>
                </c:pt>
                <c:pt idx="140">
                  <c:v>2820</c:v>
                </c:pt>
                <c:pt idx="141">
                  <c:v>2840</c:v>
                </c:pt>
                <c:pt idx="142">
                  <c:v>2860</c:v>
                </c:pt>
                <c:pt idx="143">
                  <c:v>2880</c:v>
                </c:pt>
                <c:pt idx="144">
                  <c:v>2900</c:v>
                </c:pt>
                <c:pt idx="145">
                  <c:v>2920</c:v>
                </c:pt>
                <c:pt idx="146">
                  <c:v>2940</c:v>
                </c:pt>
                <c:pt idx="147">
                  <c:v>2960</c:v>
                </c:pt>
                <c:pt idx="148">
                  <c:v>2980</c:v>
                </c:pt>
                <c:pt idx="149">
                  <c:v>3000</c:v>
                </c:pt>
              </c:numCache>
            </c:numRef>
          </c:cat>
          <c:val>
            <c:numRef>
              <c:f>IntercalcsJury2!$AI$114:$AI$263</c:f>
              <c:numCache>
                <c:formatCode>General</c:formatCode>
                <c:ptCount val="150"/>
                <c:pt idx="0">
                  <c:v>0.3288432743960677</c:v>
                </c:pt>
                <c:pt idx="1">
                  <c:v>0.60393039303212792</c:v>
                </c:pt>
                <c:pt idx="2">
                  <c:v>0.79642764492347939</c:v>
                </c:pt>
                <c:pt idx="3">
                  <c:v>0.90910505252894469</c:v>
                </c:pt>
                <c:pt idx="4">
                  <c:v>0.96427271745925847</c:v>
                </c:pt>
                <c:pt idx="5">
                  <c:v>0.98686386126604975</c:v>
                </c:pt>
                <c:pt idx="6">
                  <c:v>0.99460066484284804</c:v>
                </c:pt>
                <c:pt idx="7">
                  <c:v>0.9968163727113577</c:v>
                </c:pt>
                <c:pt idx="8">
                  <c:v>0.99734694360180076</c:v>
                </c:pt>
                <c:pt idx="9">
                  <c:v>0.99745316253849092</c:v>
                </c:pt>
                <c:pt idx="10">
                  <c:v>0.99747093843854884</c:v>
                </c:pt>
                <c:pt idx="11">
                  <c:v>0.99747342484690382</c:v>
                </c:pt>
                <c:pt idx="12">
                  <c:v>0.99747371549124897</c:v>
                </c:pt>
                <c:pt idx="13">
                  <c:v>0.99747374387927368</c:v>
                </c:pt>
                <c:pt idx="14">
                  <c:v>0.99747374619574136</c:v>
                </c:pt>
                <c:pt idx="15">
                  <c:v>0.99747374635363617</c:v>
                </c:pt>
                <c:pt idx="16">
                  <c:v>0.99747374636262487</c:v>
                </c:pt>
                <c:pt idx="17">
                  <c:v>0.99747374636305219</c:v>
                </c:pt>
                <c:pt idx="18">
                  <c:v>0.99747374636306918</c:v>
                </c:pt>
                <c:pt idx="19">
                  <c:v>0.99747374636306974</c:v>
                </c:pt>
                <c:pt idx="20">
                  <c:v>0.99747374636306974</c:v>
                </c:pt>
                <c:pt idx="21">
                  <c:v>0.99747374636306974</c:v>
                </c:pt>
                <c:pt idx="22">
                  <c:v>0.99747374636306974</c:v>
                </c:pt>
                <c:pt idx="23">
                  <c:v>0.99747374636306974</c:v>
                </c:pt>
                <c:pt idx="24">
                  <c:v>0.99747374636306974</c:v>
                </c:pt>
                <c:pt idx="25">
                  <c:v>0.99747374636306974</c:v>
                </c:pt>
                <c:pt idx="26">
                  <c:v>0.99747374636306974</c:v>
                </c:pt>
                <c:pt idx="27">
                  <c:v>0.99747374636306974</c:v>
                </c:pt>
                <c:pt idx="28">
                  <c:v>0.99747374636306974</c:v>
                </c:pt>
                <c:pt idx="29">
                  <c:v>0.99747374636306974</c:v>
                </c:pt>
                <c:pt idx="30">
                  <c:v>0.99747374636306974</c:v>
                </c:pt>
                <c:pt idx="31">
                  <c:v>0.99747374636306707</c:v>
                </c:pt>
                <c:pt idx="32">
                  <c:v>0.99747374636299613</c:v>
                </c:pt>
                <c:pt idx="33">
                  <c:v>0.99747374636138442</c:v>
                </c:pt>
                <c:pt idx="34">
                  <c:v>0.99747374633086272</c:v>
                </c:pt>
                <c:pt idx="35">
                  <c:v>0.99747374584874682</c:v>
                </c:pt>
                <c:pt idx="36">
                  <c:v>0.99747373949661744</c:v>
                </c:pt>
                <c:pt idx="37">
                  <c:v>0.99747366968176066</c:v>
                </c:pt>
                <c:pt idx="38">
                  <c:v>0.99747302954677586</c:v>
                </c:pt>
                <c:pt idx="39">
                  <c:v>0.99746813261141909</c:v>
                </c:pt>
                <c:pt idx="40">
                  <c:v>0.99743687619498811</c:v>
                </c:pt>
                <c:pt idx="41">
                  <c:v>0.99727040175036996</c:v>
                </c:pt>
                <c:pt idx="42">
                  <c:v>0.99653049085465306</c:v>
                </c:pt>
                <c:pt idx="43">
                  <c:v>0.99378599512080446</c:v>
                </c:pt>
                <c:pt idx="44">
                  <c:v>0.98528984031861766</c:v>
                </c:pt>
                <c:pt idx="45">
                  <c:v>0.96333745677050941</c:v>
                </c:pt>
                <c:pt idx="46">
                  <c:v>0.9159939974413781</c:v>
                </c:pt>
                <c:pt idx="47">
                  <c:v>0.83076769888623792</c:v>
                </c:pt>
                <c:pt idx="48">
                  <c:v>0.70270126749813089</c:v>
                </c:pt>
                <c:pt idx="49">
                  <c:v>0.54206116861438614</c:v>
                </c:pt>
                <c:pt idx="50">
                  <c:v>0.37385783128121497</c:v>
                </c:pt>
                <c:pt idx="51">
                  <c:v>0.22683720537484955</c:v>
                </c:pt>
                <c:pt idx="52">
                  <c:v>0.1195662985975996</c:v>
                </c:pt>
                <c:pt idx="53">
                  <c:v>5.4232379439007557E-2</c:v>
                </c:pt>
                <c:pt idx="54">
                  <c:v>2.1017113139852429E-2</c:v>
                </c:pt>
                <c:pt idx="55">
                  <c:v>6.9221306247970347E-3</c:v>
                </c:pt>
                <c:pt idx="56">
                  <c:v>1.9298251047323665E-3</c:v>
                </c:pt>
                <c:pt idx="57">
                  <c:v>4.540288243168036E-4</c:v>
                </c:pt>
                <c:pt idx="58">
                  <c:v>8.9932550446598518E-5</c:v>
                </c:pt>
                <c:pt idx="59">
                  <c:v>1.4970065783165967E-5</c:v>
                </c:pt>
                <c:pt idx="60">
                  <c:v>2.0911072253495354E-6</c:v>
                </c:pt>
                <c:pt idx="61">
                  <c:v>2.4483473920726651E-7</c:v>
                </c:pt>
                <c:pt idx="62">
                  <c:v>2.400535684630832E-8</c:v>
                </c:pt>
                <c:pt idx="63">
                  <c:v>1.9694722908706426E-9</c:v>
                </c:pt>
                <c:pt idx="64">
                  <c:v>1.3512136826393398E-10</c:v>
                </c:pt>
                <c:pt idx="65">
                  <c:v>7.7482211144015324E-12</c:v>
                </c:pt>
                <c:pt idx="66">
                  <c:v>3.7118584995008975E-13</c:v>
                </c:pt>
                <c:pt idx="67">
                  <c:v>1.4850089321805107E-14</c:v>
                </c:pt>
                <c:pt idx="68">
                  <c:v>4.9599294502676848E-16</c:v>
                </c:pt>
                <c:pt idx="69">
                  <c:v>1.3826449902908226E-17</c:v>
                </c:pt>
                <c:pt idx="70">
                  <c:v>3.2161082587681346E-19</c:v>
                </c:pt>
                <c:pt idx="71">
                  <c:v>6.2408657184874551E-21</c:v>
                </c:pt>
                <c:pt idx="72">
                  <c:v>1.0101220545141485E-22</c:v>
                </c:pt>
                <c:pt idx="73">
                  <c:v>1.3634769717103756E-24</c:v>
                </c:pt>
                <c:pt idx="74">
                  <c:v>1.5346341115446216E-26</c:v>
                </c:pt>
                <c:pt idx="75">
                  <c:v>1.4400911931213698E-28</c:v>
                </c:pt>
                <c:pt idx="76">
                  <c:v>1.1265596062420643E-30</c:v>
                </c:pt>
                <c:pt idx="77">
                  <c:v>7.3460421483641412E-33</c:v>
                </c:pt>
                <c:pt idx="78">
                  <c:v>3.9925298135186527E-35</c:v>
                </c:pt>
                <c:pt idx="79">
                  <c:v>1.8084343189935288E-37</c:v>
                </c:pt>
                <c:pt idx="80">
                  <c:v>6.8262913193850407E-40</c:v>
                </c:pt>
                <c:pt idx="81">
                  <c:v>2.1471632047166869E-42</c:v>
                </c:pt>
                <c:pt idx="82">
                  <c:v>5.6275158417066888E-45</c:v>
                </c:pt>
                <c:pt idx="83">
                  <c:v>1.2288968188323675E-47</c:v>
                </c:pt>
                <c:pt idx="84">
                  <c:v>2.2358300531643666E-50</c:v>
                </c:pt>
                <c:pt idx="85">
                  <c:v>3.3889590680036818E-53</c:v>
                </c:pt>
                <c:pt idx="86">
                  <c:v>4.2793632527839511E-56</c:v>
                </c:pt>
                <c:pt idx="87">
                  <c:v>4.5015272371663987E-59</c:v>
                </c:pt>
                <c:pt idx="88">
                  <c:v>3.9445043520894405E-62</c:v>
                </c:pt>
                <c:pt idx="89">
                  <c:v>2.8791344608578079E-65</c:v>
                </c:pt>
                <c:pt idx="90">
                  <c:v>1.7504697451402969E-68</c:v>
                </c:pt>
                <c:pt idx="91">
                  <c:v>8.8645685648948086E-72</c:v>
                </c:pt>
                <c:pt idx="92">
                  <c:v>3.7390304356187224E-75</c:v>
                </c:pt>
                <c:pt idx="93">
                  <c:v>1.313553229824199E-78</c:v>
                </c:pt>
                <c:pt idx="94">
                  <c:v>3.8433793045996131E-82</c:v>
                </c:pt>
                <c:pt idx="95">
                  <c:v>9.3658241882764979E-86</c:v>
                </c:pt>
                <c:pt idx="96">
                  <c:v>1.9008018423125083E-89</c:v>
                </c:pt>
                <c:pt idx="97">
                  <c:v>3.2127523428615366E-93</c:v>
                </c:pt>
                <c:pt idx="98">
                  <c:v>4.5222983221416131E-97</c:v>
                </c:pt>
                <c:pt idx="99">
                  <c:v>5.3012122543691819E-101</c:v>
                </c:pt>
                <c:pt idx="100">
                  <c:v>5.1750925153125781E-105</c:v>
                </c:pt>
                <c:pt idx="101">
                  <c:v>4.2070851706065472E-109</c:v>
                </c:pt>
                <c:pt idx="102">
                  <c:v>2.8481210951183873E-113</c:v>
                </c:pt>
                <c:pt idx="103">
                  <c:v>1.6056230917610476E-117</c:v>
                </c:pt>
                <c:pt idx="104">
                  <c:v>7.5375662431126909E-122</c:v>
                </c:pt>
                <c:pt idx="105">
                  <c:v>2.946563018701424E-126</c:v>
                </c:pt>
                <c:pt idx="106">
                  <c:v>9.5916281919304231E-131</c:v>
                </c:pt>
                <c:pt idx="107">
                  <c:v>2.5998971140612023E-135</c:v>
                </c:pt>
                <c:pt idx="108">
                  <c:v>5.8681697941510264E-140</c:v>
                </c:pt>
                <c:pt idx="109">
                  <c:v>1.1028781937967525E-144</c:v>
                </c:pt>
                <c:pt idx="110">
                  <c:v>1.7259439771325953E-149</c:v>
                </c:pt>
                <c:pt idx="111">
                  <c:v>2.2490349397812111E-154</c:v>
                </c:pt>
                <c:pt idx="112">
                  <c:v>2.4402389534945206E-159</c:v>
                </c:pt>
                <c:pt idx="113">
                  <c:v>2.2046091757847222E-164</c:v>
                </c:pt>
                <c:pt idx="114">
                  <c:v>1.6584049620350691E-169</c:v>
                </c:pt>
                <c:pt idx="115">
                  <c:v>1.0387381046947539E-174</c:v>
                </c:pt>
                <c:pt idx="116">
                  <c:v>5.4172010542259636E-180</c:v>
                </c:pt>
                <c:pt idx="117">
                  <c:v>2.3523087080406085E-185</c:v>
                </c:pt>
                <c:pt idx="118">
                  <c:v>8.5047457078040652E-191</c:v>
                </c:pt>
                <c:pt idx="119">
                  <c:v>2.5601965490048041E-196</c:v>
                </c:pt>
                <c:pt idx="120">
                  <c:v>6.4169352936002075E-202</c:v>
                </c:pt>
                <c:pt idx="121">
                  <c:v>1.3391274590239003E-207</c:v>
                </c:pt>
                <c:pt idx="122">
                  <c:v>2.326771320086755E-213</c:v>
                </c:pt>
                <c:pt idx="123">
                  <c:v>3.3660514062728004E-219</c:v>
                </c:pt>
                <c:pt idx="124">
                  <c:v>4.0543464553051198E-225</c:v>
                </c:pt>
                <c:pt idx="125">
                  <c:v>4.0658555415191439E-231</c:v>
                </c:pt>
                <c:pt idx="126">
                  <c:v>3.3947827600973901E-237</c:v>
                </c:pt>
                <c:pt idx="127">
                  <c:v>2.3599296166316408E-243</c:v>
                </c:pt>
                <c:pt idx="128">
                  <c:v>1.365875979437116E-249</c:v>
                </c:pt>
                <c:pt idx="129">
                  <c:v>6.5818327794892711E-256</c:v>
                </c:pt>
                <c:pt idx="130">
                  <c:v>2.6406087195305788E-262</c:v>
                </c:pt>
                <c:pt idx="131">
                  <c:v>8.8202567938462343E-269</c:v>
                </c:pt>
                <c:pt idx="132">
                  <c:v>2.4528826384035666E-275</c:v>
                </c:pt>
                <c:pt idx="133">
                  <c:v>5.6792256672594155E-282</c:v>
                </c:pt>
                <c:pt idx="134">
                  <c:v>1.09475467267399E-288</c:v>
                </c:pt>
                <c:pt idx="135">
                  <c:v>1.7569458408949528E-295</c:v>
                </c:pt>
                <c:pt idx="136">
                  <c:v>2.3475369469785786E-302</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mooth val="0"/>
          <c:extLst>
            <c:ext xmlns:c16="http://schemas.microsoft.com/office/drawing/2014/chart" uri="{C3380CC4-5D6E-409C-BE32-E72D297353CC}">
              <c16:uniqueId val="{00000000-DE8F-4EBA-AAC2-4EF85690627F}"/>
            </c:ext>
          </c:extLst>
        </c:ser>
        <c:dLbls>
          <c:showLegendKey val="0"/>
          <c:showVal val="0"/>
          <c:showCatName val="0"/>
          <c:showSerName val="0"/>
          <c:showPercent val="0"/>
          <c:showBubbleSize val="0"/>
        </c:dLbls>
        <c:marker val="1"/>
        <c:smooth val="0"/>
        <c:axId val="255191312"/>
        <c:axId val="1"/>
      </c:lineChart>
      <c:catAx>
        <c:axId val="2551913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Depth (cm)</a:t>
                </a:r>
              </a:p>
            </c:rich>
          </c:tx>
          <c:layout>
            <c:manualLayout>
              <c:xMode val="edge"/>
              <c:yMode val="edge"/>
              <c:x val="0.42072865655498165"/>
              <c:y val="0.944717204467088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9"/>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C/co</a:t>
                </a:r>
              </a:p>
            </c:rich>
          </c:tx>
          <c:layout>
            <c:manualLayout>
              <c:xMode val="edge"/>
              <c:yMode val="edge"/>
              <c:x val="4.9558732533984944E-3"/>
              <c:y val="0.288199166641513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5191312"/>
        <c:crossesAt val="1"/>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Liquid Phase Concentration Versus Depth</a:t>
            </a:r>
          </a:p>
        </c:rich>
      </c:tx>
      <c:layout>
        <c:manualLayout>
          <c:xMode val="edge"/>
          <c:yMode val="edge"/>
          <c:x val="0.1690427698574338"/>
          <c:y val="3.6666666666666667E-2"/>
        </c:manualLayout>
      </c:layout>
      <c:overlay val="0"/>
      <c:spPr>
        <a:noFill/>
        <a:ln w="25400">
          <a:noFill/>
        </a:ln>
      </c:spPr>
    </c:title>
    <c:autoTitleDeleted val="0"/>
    <c:plotArea>
      <c:layout>
        <c:manualLayout>
          <c:layoutTarget val="inner"/>
          <c:xMode val="edge"/>
          <c:yMode val="edge"/>
          <c:x val="0.15668963874789754"/>
          <c:y val="0.11502389113828158"/>
          <c:w val="0.83095723014256617"/>
          <c:h val="0.5166683485297803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IntercalcsJury2!$B$114:$B$263</c:f>
              <c:numCache>
                <c:formatCode>General</c:formatCode>
                <c:ptCount val="1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pt idx="100">
                  <c:v>2020</c:v>
                </c:pt>
                <c:pt idx="101">
                  <c:v>2040</c:v>
                </c:pt>
                <c:pt idx="102">
                  <c:v>2060</c:v>
                </c:pt>
                <c:pt idx="103">
                  <c:v>2080</c:v>
                </c:pt>
                <c:pt idx="104">
                  <c:v>2100</c:v>
                </c:pt>
                <c:pt idx="105">
                  <c:v>2120</c:v>
                </c:pt>
                <c:pt idx="106">
                  <c:v>2140</c:v>
                </c:pt>
                <c:pt idx="107">
                  <c:v>2160</c:v>
                </c:pt>
                <c:pt idx="108">
                  <c:v>2180</c:v>
                </c:pt>
                <c:pt idx="109">
                  <c:v>2200</c:v>
                </c:pt>
                <c:pt idx="110">
                  <c:v>2220</c:v>
                </c:pt>
                <c:pt idx="111">
                  <c:v>2240</c:v>
                </c:pt>
                <c:pt idx="112">
                  <c:v>2260</c:v>
                </c:pt>
                <c:pt idx="113">
                  <c:v>2280</c:v>
                </c:pt>
                <c:pt idx="114">
                  <c:v>2300</c:v>
                </c:pt>
                <c:pt idx="115">
                  <c:v>2320</c:v>
                </c:pt>
                <c:pt idx="116">
                  <c:v>2340</c:v>
                </c:pt>
                <c:pt idx="117">
                  <c:v>2360</c:v>
                </c:pt>
                <c:pt idx="118">
                  <c:v>2380</c:v>
                </c:pt>
                <c:pt idx="119">
                  <c:v>2400</c:v>
                </c:pt>
                <c:pt idx="120">
                  <c:v>2420</c:v>
                </c:pt>
                <c:pt idx="121">
                  <c:v>2440</c:v>
                </c:pt>
                <c:pt idx="122">
                  <c:v>2460</c:v>
                </c:pt>
                <c:pt idx="123">
                  <c:v>2480</c:v>
                </c:pt>
                <c:pt idx="124">
                  <c:v>2500</c:v>
                </c:pt>
                <c:pt idx="125">
                  <c:v>2520</c:v>
                </c:pt>
                <c:pt idx="126">
                  <c:v>2540</c:v>
                </c:pt>
                <c:pt idx="127">
                  <c:v>2560</c:v>
                </c:pt>
                <c:pt idx="128">
                  <c:v>2580</c:v>
                </c:pt>
                <c:pt idx="129">
                  <c:v>2600</c:v>
                </c:pt>
                <c:pt idx="130">
                  <c:v>2620</c:v>
                </c:pt>
                <c:pt idx="131">
                  <c:v>2640</c:v>
                </c:pt>
                <c:pt idx="132">
                  <c:v>2660</c:v>
                </c:pt>
                <c:pt idx="133">
                  <c:v>2680</c:v>
                </c:pt>
                <c:pt idx="134">
                  <c:v>2700</c:v>
                </c:pt>
                <c:pt idx="135">
                  <c:v>2720</c:v>
                </c:pt>
                <c:pt idx="136">
                  <c:v>2740</c:v>
                </c:pt>
                <c:pt idx="137">
                  <c:v>2760</c:v>
                </c:pt>
                <c:pt idx="138">
                  <c:v>2780</c:v>
                </c:pt>
                <c:pt idx="139">
                  <c:v>2800</c:v>
                </c:pt>
                <c:pt idx="140">
                  <c:v>2820</c:v>
                </c:pt>
                <c:pt idx="141">
                  <c:v>2840</c:v>
                </c:pt>
                <c:pt idx="142">
                  <c:v>2860</c:v>
                </c:pt>
                <c:pt idx="143">
                  <c:v>2880</c:v>
                </c:pt>
                <c:pt idx="144">
                  <c:v>2900</c:v>
                </c:pt>
                <c:pt idx="145">
                  <c:v>2920</c:v>
                </c:pt>
                <c:pt idx="146">
                  <c:v>2940</c:v>
                </c:pt>
                <c:pt idx="147">
                  <c:v>2960</c:v>
                </c:pt>
                <c:pt idx="148">
                  <c:v>2980</c:v>
                </c:pt>
                <c:pt idx="149">
                  <c:v>3000</c:v>
                </c:pt>
              </c:numCache>
            </c:numRef>
          </c:cat>
          <c:val>
            <c:numRef>
              <c:f>IntercalcsJury2!$AM$114:$AM$263</c:f>
              <c:numCache>
                <c:formatCode>General</c:formatCode>
                <c:ptCount val="150"/>
                <c:pt idx="0">
                  <c:v>98.357908593041202</c:v>
                </c:pt>
                <c:pt idx="1">
                  <c:v>180.6372062907661</c:v>
                </c:pt>
                <c:pt idx="2">
                  <c:v>238.21365251948541</c:v>
                </c:pt>
                <c:pt idx="3">
                  <c:v>271.91576845332349</c:v>
                </c:pt>
                <c:pt idx="4">
                  <c:v>288.41656554115411</c:v>
                </c:pt>
                <c:pt idx="5">
                  <c:v>295.17363746741273</c:v>
                </c:pt>
                <c:pt idx="6">
                  <c:v>297.48773624412212</c:v>
                </c:pt>
                <c:pt idx="7">
                  <c:v>298.150460432111</c:v>
                </c:pt>
                <c:pt idx="8">
                  <c:v>298.3091556136992</c:v>
                </c:pt>
                <c:pt idx="9">
                  <c:v>298.34092598359655</c:v>
                </c:pt>
                <c:pt idx="10">
                  <c:v>298.34624280315523</c:v>
                </c:pt>
                <c:pt idx="11">
                  <c:v>298.34698649458744</c:v>
                </c:pt>
                <c:pt idx="12">
                  <c:v>298.34707342709345</c:v>
                </c:pt>
                <c:pt idx="13">
                  <c:v>298.3470819180281</c:v>
                </c:pt>
                <c:pt idx="14">
                  <c:v>298.3470826108898</c:v>
                </c:pt>
                <c:pt idx="15">
                  <c:v>298.34708265811656</c:v>
                </c:pt>
                <c:pt idx="16">
                  <c:v>298.34708266080509</c:v>
                </c:pt>
                <c:pt idx="17">
                  <c:v>298.34708266093293</c:v>
                </c:pt>
                <c:pt idx="18">
                  <c:v>298.34708266093799</c:v>
                </c:pt>
                <c:pt idx="19">
                  <c:v>298.34708266093816</c:v>
                </c:pt>
                <c:pt idx="20">
                  <c:v>298.34708266093816</c:v>
                </c:pt>
                <c:pt idx="21">
                  <c:v>298.34708266093816</c:v>
                </c:pt>
                <c:pt idx="22">
                  <c:v>298.34708266093816</c:v>
                </c:pt>
                <c:pt idx="23">
                  <c:v>298.34708266093816</c:v>
                </c:pt>
                <c:pt idx="24">
                  <c:v>298.34708266093816</c:v>
                </c:pt>
                <c:pt idx="25">
                  <c:v>298.34708266093816</c:v>
                </c:pt>
                <c:pt idx="26">
                  <c:v>298.34708266093816</c:v>
                </c:pt>
                <c:pt idx="27">
                  <c:v>298.34708266093816</c:v>
                </c:pt>
                <c:pt idx="28">
                  <c:v>298.34708266093816</c:v>
                </c:pt>
                <c:pt idx="29">
                  <c:v>298.34708266093816</c:v>
                </c:pt>
                <c:pt idx="30">
                  <c:v>298.34708266093816</c:v>
                </c:pt>
                <c:pt idx="31">
                  <c:v>298.34708266093736</c:v>
                </c:pt>
                <c:pt idx="32">
                  <c:v>298.34708266091616</c:v>
                </c:pt>
                <c:pt idx="33">
                  <c:v>298.34708266043407</c:v>
                </c:pt>
                <c:pt idx="34">
                  <c:v>298.34708265130496</c:v>
                </c:pt>
                <c:pt idx="35">
                  <c:v>298.34708250710281</c:v>
                </c:pt>
                <c:pt idx="36">
                  <c:v>298.34708060716378</c:v>
                </c:pt>
                <c:pt idx="37">
                  <c:v>298.34705972535221</c:v>
                </c:pt>
                <c:pt idx="38">
                  <c:v>298.34686825925502</c:v>
                </c:pt>
                <c:pt idx="39">
                  <c:v>298.34540357270765</c:v>
                </c:pt>
                <c:pt idx="40">
                  <c:v>298.33605469441324</c:v>
                </c:pt>
                <c:pt idx="41">
                  <c:v>298.28626173989136</c:v>
                </c:pt>
                <c:pt idx="42">
                  <c:v>298.06495239919838</c:v>
                </c:pt>
                <c:pt idx="43">
                  <c:v>297.2440663372297</c:v>
                </c:pt>
                <c:pt idx="44">
                  <c:v>294.70284356489066</c:v>
                </c:pt>
                <c:pt idx="45">
                  <c:v>288.13682655149836</c:v>
                </c:pt>
                <c:pt idx="46">
                  <c:v>273.97627042115005</c:v>
                </c:pt>
                <c:pt idx="47">
                  <c:v>248.48485510056972</c:v>
                </c:pt>
                <c:pt idx="48">
                  <c:v>210.17984072725753</c:v>
                </c:pt>
                <c:pt idx="49">
                  <c:v>162.13195472015539</c:v>
                </c:pt>
                <c:pt idx="50">
                  <c:v>111.82188373316501</c:v>
                </c:pt>
                <c:pt idx="51">
                  <c:v>67.847618756186321</c:v>
                </c:pt>
                <c:pt idx="52">
                  <c:v>35.762601773958011</c:v>
                </c:pt>
                <c:pt idx="53">
                  <c:v>16.221050679663279</c:v>
                </c:pt>
                <c:pt idx="54">
                  <c:v>6.2862751166059123</c:v>
                </c:pt>
                <c:pt idx="55">
                  <c:v>2.0704279037279272</c:v>
                </c:pt>
                <c:pt idx="56">
                  <c:v>0.57721588376840482</c:v>
                </c:pt>
                <c:pt idx="57">
                  <c:v>0.13580124356434806</c:v>
                </c:pt>
                <c:pt idx="58">
                  <c:v>2.6899067930188994E-2</c:v>
                </c:pt>
                <c:pt idx="59">
                  <c:v>4.4775869740277079E-3</c:v>
                </c:pt>
                <c:pt idx="60">
                  <c:v>6.2545580020424794E-4</c:v>
                </c:pt>
                <c:pt idx="61">
                  <c:v>7.323072957345959E-5</c:v>
                </c:pt>
                <c:pt idx="62">
                  <c:v>7.1800668533325003E-6</c:v>
                </c:pt>
                <c:pt idx="63">
                  <c:v>5.8907446386958415E-7</c:v>
                </c:pt>
                <c:pt idx="64">
                  <c:v>4.0415164984227517E-8</c:v>
                </c:pt>
                <c:pt idx="65">
                  <c:v>2.3175137929416353E-9</c:v>
                </c:pt>
                <c:pt idx="66">
                  <c:v>1.1102268692425418E-10</c:v>
                </c:pt>
                <c:pt idx="67">
                  <c:v>4.4417016914671317E-12</c:v>
                </c:pt>
                <c:pt idx="68">
                  <c:v>1.4835282503293178E-13</c:v>
                </c:pt>
                <c:pt idx="69">
                  <c:v>4.1355283857153224E-15</c:v>
                </c:pt>
                <c:pt idx="70">
                  <c:v>9.6194663771728868E-17</c:v>
                </c:pt>
                <c:pt idx="71">
                  <c:v>1.8666597363372252E-18</c:v>
                </c:pt>
                <c:pt idx="72">
                  <c:v>3.0213022567721294E-20</c:v>
                </c:pt>
                <c:pt idx="73">
                  <c:v>4.0781963261526695E-22</c:v>
                </c:pt>
                <c:pt idx="74">
                  <c:v>4.5901319388174135E-24</c:v>
                </c:pt>
                <c:pt idx="75">
                  <c:v>4.307351524789741E-26</c:v>
                </c:pt>
                <c:pt idx="76">
                  <c:v>3.3695701084009905E-28</c:v>
                </c:pt>
                <c:pt idx="77">
                  <c:v>2.197220981564549E-30</c:v>
                </c:pt>
                <c:pt idx="78">
                  <c:v>1.1941764148111626E-32</c:v>
                </c:pt>
                <c:pt idx="79">
                  <c:v>5.409075729791214E-35</c:v>
                </c:pt>
                <c:pt idx="80">
                  <c:v>2.0417621094870513E-37</c:v>
                </c:pt>
                <c:pt idx="81">
                  <c:v>6.4222229453141198E-40</c:v>
                </c:pt>
                <c:pt idx="82">
                  <c:v>1.6832051371007048E-42</c:v>
                </c:pt>
                <c:pt idx="83">
                  <c:v>3.6756634660988068E-45</c:v>
                </c:pt>
                <c:pt idx="84">
                  <c:v>6.6874278758655044E-48</c:v>
                </c:pt>
                <c:pt idx="85">
                  <c:v>1.013646780060922E-50</c:v>
                </c:pt>
                <c:pt idx="86">
                  <c:v>1.2799690686292977E-53</c:v>
                </c:pt>
                <c:pt idx="87">
                  <c:v>1.3464189144066997E-56</c:v>
                </c:pt>
                <c:pt idx="88">
                  <c:v>1.179811870016782E-59</c:v>
                </c:pt>
                <c:pt idx="89">
                  <c:v>8.6115686765437936E-63</c:v>
                </c:pt>
                <c:pt idx="90">
                  <c:v>5.2357021290337903E-66</c:v>
                </c:pt>
                <c:pt idx="91">
                  <c:v>2.6514163205069221E-69</c:v>
                </c:pt>
                <c:pt idx="92">
                  <c:v>1.1183540684801764E-72</c:v>
                </c:pt>
                <c:pt idx="93">
                  <c:v>3.9288730702618125E-76</c:v>
                </c:pt>
                <c:pt idx="94">
                  <c:v>1.1495650960916093E-79</c:v>
                </c:pt>
                <c:pt idx="95">
                  <c:v>2.8013432268025421E-83</c:v>
                </c:pt>
                <c:pt idx="96">
                  <c:v>5.6853494785020198E-87</c:v>
                </c:pt>
                <c:pt idx="97">
                  <c:v>9.6094287423575394E-91</c:v>
                </c:pt>
                <c:pt idx="98">
                  <c:v>1.3526316018369733E-94</c:v>
                </c:pt>
                <c:pt idx="99">
                  <c:v>1.5856068557435244E-98</c:v>
                </c:pt>
                <c:pt idx="100">
                  <c:v>1.547884102286913E-102</c:v>
                </c:pt>
                <c:pt idx="101">
                  <c:v>1.2583504996829156E-106</c:v>
                </c:pt>
                <c:pt idx="102">
                  <c:v>8.5188068647608809E-111</c:v>
                </c:pt>
                <c:pt idx="103">
                  <c:v>4.8024618896143012E-115</c:v>
                </c:pt>
                <c:pt idx="104">
                  <c:v>2.254506353872191E-119</c:v>
                </c:pt>
                <c:pt idx="105">
                  <c:v>8.8132493081797339E-124</c:v>
                </c:pt>
                <c:pt idx="106">
                  <c:v>2.8688818121426995E-128</c:v>
                </c:pt>
                <c:pt idx="107">
                  <c:v>7.7763622554173566E-133</c:v>
                </c:pt>
                <c:pt idx="108">
                  <c:v>1.7551853820990113E-137</c:v>
                </c:pt>
                <c:pt idx="109">
                  <c:v>3.2987383662913836E-142</c:v>
                </c:pt>
                <c:pt idx="110">
                  <c:v>5.1623448967076636E-147</c:v>
                </c:pt>
                <c:pt idx="111">
                  <c:v>6.7269240472020289E-152</c:v>
                </c:pt>
                <c:pt idx="112">
                  <c:v>7.2988203992857063E-157</c:v>
                </c:pt>
                <c:pt idx="113">
                  <c:v>6.594045391180626E-162</c:v>
                </c:pt>
                <c:pt idx="114">
                  <c:v>4.9603338844518524E-167</c:v>
                </c:pt>
                <c:pt idx="115">
                  <c:v>3.1068936331847079E-172</c:v>
                </c:pt>
                <c:pt idx="116">
                  <c:v>1.6202994180137482E-177</c:v>
                </c:pt>
                <c:pt idx="117">
                  <c:v>7.0358186681174745E-183</c:v>
                </c:pt>
                <c:pt idx="118">
                  <c:v>2.5437923353352145E-188</c:v>
                </c:pt>
                <c:pt idx="119">
                  <c:v>7.6576167966245405E-194</c:v>
                </c:pt>
                <c:pt idx="120">
                  <c:v>1.9193226202194043E-199</c:v>
                </c:pt>
                <c:pt idx="121">
                  <c:v>4.0053662782369902E-205</c:v>
                </c:pt>
                <c:pt idx="122">
                  <c:v>6.9594356533003648E-211</c:v>
                </c:pt>
                <c:pt idx="123">
                  <c:v>1.0067950367715257E-216</c:v>
                </c:pt>
                <c:pt idx="124">
                  <c:v>1.2126659387752105E-222</c:v>
                </c:pt>
                <c:pt idx="125">
                  <c:v>1.2161083374434132E-228</c:v>
                </c:pt>
                <c:pt idx="126">
                  <c:v>1.015388662043088E-234</c:v>
                </c:pt>
                <c:pt idx="127">
                  <c:v>7.0586130108623371E-241</c:v>
                </c:pt>
                <c:pt idx="128">
                  <c:v>4.0853718228428199E-247</c:v>
                </c:pt>
                <c:pt idx="129">
                  <c:v>1.9686439021403607E-253</c:v>
                </c:pt>
                <c:pt idx="130">
                  <c:v>7.8981317633018329E-260</c:v>
                </c:pt>
                <c:pt idx="131">
                  <c:v>2.6381625505023636E-266</c:v>
                </c:pt>
                <c:pt idx="132">
                  <c:v>7.33663800120708E-273</c:v>
                </c:pt>
                <c:pt idx="133">
                  <c:v>1.6986716851224576E-279</c:v>
                </c:pt>
                <c:pt idx="134">
                  <c:v>3.2744406959341683E-286</c:v>
                </c:pt>
                <c:pt idx="135">
                  <c:v>5.2550723057675569E-293</c:v>
                </c:pt>
                <c:pt idx="136">
                  <c:v>7.0215462023287513E-300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mooth val="0"/>
          <c:extLst>
            <c:ext xmlns:c16="http://schemas.microsoft.com/office/drawing/2014/chart" uri="{C3380CC4-5D6E-409C-BE32-E72D297353CC}">
              <c16:uniqueId val="{00000000-5998-47BC-824C-270DCB4E2AEA}"/>
            </c:ext>
          </c:extLst>
        </c:ser>
        <c:dLbls>
          <c:showLegendKey val="0"/>
          <c:showVal val="0"/>
          <c:showCatName val="0"/>
          <c:showSerName val="0"/>
          <c:showPercent val="0"/>
          <c:showBubbleSize val="0"/>
        </c:dLbls>
        <c:marker val="1"/>
        <c:smooth val="0"/>
        <c:axId val="255190000"/>
        <c:axId val="1"/>
      </c:lineChart>
      <c:catAx>
        <c:axId val="2551900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Depth (cm)</a:t>
                </a:r>
              </a:p>
            </c:rich>
          </c:tx>
          <c:layout>
            <c:manualLayout>
              <c:xMode val="edge"/>
              <c:yMode val="edge"/>
              <c:x val="0.43984023736163413"/>
              <c:y val="0.945844988742580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9"/>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Liquid Concentation (ug/l)</a:t>
                </a:r>
              </a:p>
            </c:rich>
          </c:tx>
          <c:layout>
            <c:manualLayout>
              <c:xMode val="edge"/>
              <c:yMode val="edge"/>
              <c:x val="1.003388233288504E-2"/>
              <c:y val="0.152540292420086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51900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Soil Gas Concentration (ug/l) Versus Depth</a:t>
            </a:r>
          </a:p>
        </c:rich>
      </c:tx>
      <c:layout>
        <c:manualLayout>
          <c:xMode val="edge"/>
          <c:yMode val="edge"/>
          <c:x val="0.13238289205702647"/>
          <c:y val="0.04"/>
        </c:manualLayout>
      </c:layout>
      <c:overlay val="0"/>
      <c:spPr>
        <a:noFill/>
        <a:ln w="25400">
          <a:noFill/>
        </a:ln>
      </c:spPr>
    </c:title>
    <c:autoTitleDeleted val="0"/>
    <c:plotArea>
      <c:layout>
        <c:manualLayout>
          <c:layoutTarget val="inner"/>
          <c:xMode val="edge"/>
          <c:yMode val="edge"/>
          <c:x val="0.16956869049213838"/>
          <c:y val="0.12622863318555766"/>
          <c:w val="0.81803518856720847"/>
          <c:h val="0.5166683485297803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IntercalcsJury2!$B$114:$B$263</c:f>
              <c:numCache>
                <c:formatCode>General</c:formatCode>
                <c:ptCount val="1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pt idx="100">
                  <c:v>2020</c:v>
                </c:pt>
                <c:pt idx="101">
                  <c:v>2040</c:v>
                </c:pt>
                <c:pt idx="102">
                  <c:v>2060</c:v>
                </c:pt>
                <c:pt idx="103">
                  <c:v>2080</c:v>
                </c:pt>
                <c:pt idx="104">
                  <c:v>2100</c:v>
                </c:pt>
                <c:pt idx="105">
                  <c:v>2120</c:v>
                </c:pt>
                <c:pt idx="106">
                  <c:v>2140</c:v>
                </c:pt>
                <c:pt idx="107">
                  <c:v>2160</c:v>
                </c:pt>
                <c:pt idx="108">
                  <c:v>2180</c:v>
                </c:pt>
                <c:pt idx="109">
                  <c:v>2200</c:v>
                </c:pt>
                <c:pt idx="110">
                  <c:v>2220</c:v>
                </c:pt>
                <c:pt idx="111">
                  <c:v>2240</c:v>
                </c:pt>
                <c:pt idx="112">
                  <c:v>2260</c:v>
                </c:pt>
                <c:pt idx="113">
                  <c:v>2280</c:v>
                </c:pt>
                <c:pt idx="114">
                  <c:v>2300</c:v>
                </c:pt>
                <c:pt idx="115">
                  <c:v>2320</c:v>
                </c:pt>
                <c:pt idx="116">
                  <c:v>2340</c:v>
                </c:pt>
                <c:pt idx="117">
                  <c:v>2360</c:v>
                </c:pt>
                <c:pt idx="118">
                  <c:v>2380</c:v>
                </c:pt>
                <c:pt idx="119">
                  <c:v>2400</c:v>
                </c:pt>
                <c:pt idx="120">
                  <c:v>2420</c:v>
                </c:pt>
                <c:pt idx="121">
                  <c:v>2440</c:v>
                </c:pt>
                <c:pt idx="122">
                  <c:v>2460</c:v>
                </c:pt>
                <c:pt idx="123">
                  <c:v>2480</c:v>
                </c:pt>
                <c:pt idx="124">
                  <c:v>2500</c:v>
                </c:pt>
                <c:pt idx="125">
                  <c:v>2520</c:v>
                </c:pt>
                <c:pt idx="126">
                  <c:v>2540</c:v>
                </c:pt>
                <c:pt idx="127">
                  <c:v>2560</c:v>
                </c:pt>
                <c:pt idx="128">
                  <c:v>2580</c:v>
                </c:pt>
                <c:pt idx="129">
                  <c:v>2600</c:v>
                </c:pt>
                <c:pt idx="130">
                  <c:v>2620</c:v>
                </c:pt>
                <c:pt idx="131">
                  <c:v>2640</c:v>
                </c:pt>
                <c:pt idx="132">
                  <c:v>2660</c:v>
                </c:pt>
                <c:pt idx="133">
                  <c:v>2680</c:v>
                </c:pt>
                <c:pt idx="134">
                  <c:v>2700</c:v>
                </c:pt>
                <c:pt idx="135">
                  <c:v>2720</c:v>
                </c:pt>
                <c:pt idx="136">
                  <c:v>2740</c:v>
                </c:pt>
                <c:pt idx="137">
                  <c:v>2760</c:v>
                </c:pt>
                <c:pt idx="138">
                  <c:v>2780</c:v>
                </c:pt>
                <c:pt idx="139">
                  <c:v>2800</c:v>
                </c:pt>
                <c:pt idx="140">
                  <c:v>2820</c:v>
                </c:pt>
                <c:pt idx="141">
                  <c:v>2840</c:v>
                </c:pt>
                <c:pt idx="142">
                  <c:v>2860</c:v>
                </c:pt>
                <c:pt idx="143">
                  <c:v>2880</c:v>
                </c:pt>
                <c:pt idx="144">
                  <c:v>2900</c:v>
                </c:pt>
                <c:pt idx="145">
                  <c:v>2920</c:v>
                </c:pt>
                <c:pt idx="146">
                  <c:v>2940</c:v>
                </c:pt>
                <c:pt idx="147">
                  <c:v>2960</c:v>
                </c:pt>
                <c:pt idx="148">
                  <c:v>2980</c:v>
                </c:pt>
                <c:pt idx="149">
                  <c:v>3000</c:v>
                </c:pt>
              </c:numCache>
            </c:numRef>
          </c:cat>
          <c:val>
            <c:numRef>
              <c:f>IntercalcsJury2!$AO$114:$AO$263</c:f>
              <c:numCache>
                <c:formatCode>General</c:formatCode>
                <c:ptCount val="150"/>
                <c:pt idx="0">
                  <c:v>98.357908593041202</c:v>
                </c:pt>
                <c:pt idx="1">
                  <c:v>180.6372062907661</c:v>
                </c:pt>
                <c:pt idx="2">
                  <c:v>238.21365251948541</c:v>
                </c:pt>
                <c:pt idx="3">
                  <c:v>271.91576845332349</c:v>
                </c:pt>
                <c:pt idx="4">
                  <c:v>288.41656554115411</c:v>
                </c:pt>
                <c:pt idx="5">
                  <c:v>295.17363746741273</c:v>
                </c:pt>
                <c:pt idx="6">
                  <c:v>297.48773624412212</c:v>
                </c:pt>
                <c:pt idx="7">
                  <c:v>298.150460432111</c:v>
                </c:pt>
                <c:pt idx="8">
                  <c:v>298.3091556136992</c:v>
                </c:pt>
                <c:pt idx="9">
                  <c:v>298.34092598359655</c:v>
                </c:pt>
                <c:pt idx="10">
                  <c:v>298.34624280315523</c:v>
                </c:pt>
                <c:pt idx="11">
                  <c:v>298.34698649458744</c:v>
                </c:pt>
                <c:pt idx="12">
                  <c:v>298.34707342709345</c:v>
                </c:pt>
                <c:pt idx="13">
                  <c:v>298.3470819180281</c:v>
                </c:pt>
                <c:pt idx="14">
                  <c:v>298.3470826108898</c:v>
                </c:pt>
                <c:pt idx="15">
                  <c:v>298.34708265811656</c:v>
                </c:pt>
                <c:pt idx="16">
                  <c:v>298.34708266080509</c:v>
                </c:pt>
                <c:pt idx="17">
                  <c:v>298.34708266093293</c:v>
                </c:pt>
                <c:pt idx="18">
                  <c:v>298.34708266093799</c:v>
                </c:pt>
                <c:pt idx="19">
                  <c:v>298.34708266093816</c:v>
                </c:pt>
                <c:pt idx="20">
                  <c:v>298.34708266093816</c:v>
                </c:pt>
                <c:pt idx="21">
                  <c:v>298.34708266093816</c:v>
                </c:pt>
                <c:pt idx="22">
                  <c:v>298.34708266093816</c:v>
                </c:pt>
                <c:pt idx="23">
                  <c:v>298.34708266093816</c:v>
                </c:pt>
                <c:pt idx="24">
                  <c:v>298.34708266093816</c:v>
                </c:pt>
                <c:pt idx="25">
                  <c:v>298.34708266093816</c:v>
                </c:pt>
                <c:pt idx="26">
                  <c:v>298.34708266093816</c:v>
                </c:pt>
                <c:pt idx="27">
                  <c:v>298.34708266093816</c:v>
                </c:pt>
                <c:pt idx="28">
                  <c:v>298.34708266093816</c:v>
                </c:pt>
                <c:pt idx="29">
                  <c:v>298.34708266093816</c:v>
                </c:pt>
                <c:pt idx="30">
                  <c:v>298.34708266093816</c:v>
                </c:pt>
                <c:pt idx="31">
                  <c:v>298.34708266093736</c:v>
                </c:pt>
                <c:pt idx="32">
                  <c:v>298.34708266091616</c:v>
                </c:pt>
                <c:pt idx="33">
                  <c:v>298.34708266043407</c:v>
                </c:pt>
                <c:pt idx="34">
                  <c:v>298.34708265130496</c:v>
                </c:pt>
                <c:pt idx="35">
                  <c:v>298.34708250710281</c:v>
                </c:pt>
                <c:pt idx="36">
                  <c:v>298.34708060716378</c:v>
                </c:pt>
                <c:pt idx="37">
                  <c:v>298.34705972535221</c:v>
                </c:pt>
                <c:pt idx="38">
                  <c:v>298.34686825925502</c:v>
                </c:pt>
                <c:pt idx="39">
                  <c:v>298.34540357270765</c:v>
                </c:pt>
                <c:pt idx="40">
                  <c:v>298.33605469441324</c:v>
                </c:pt>
                <c:pt idx="41">
                  <c:v>298.28626173989136</c:v>
                </c:pt>
                <c:pt idx="42">
                  <c:v>298.06495239919838</c:v>
                </c:pt>
                <c:pt idx="43">
                  <c:v>297.2440663372297</c:v>
                </c:pt>
                <c:pt idx="44">
                  <c:v>294.70284356489066</c:v>
                </c:pt>
                <c:pt idx="45">
                  <c:v>288.13682655149836</c:v>
                </c:pt>
                <c:pt idx="46">
                  <c:v>273.97627042115005</c:v>
                </c:pt>
                <c:pt idx="47">
                  <c:v>248.48485510056972</c:v>
                </c:pt>
                <c:pt idx="48">
                  <c:v>210.17984072725753</c:v>
                </c:pt>
                <c:pt idx="49">
                  <c:v>162.13195472015539</c:v>
                </c:pt>
                <c:pt idx="50">
                  <c:v>111.82188373316501</c:v>
                </c:pt>
                <c:pt idx="51">
                  <c:v>67.847618756186321</c:v>
                </c:pt>
                <c:pt idx="52">
                  <c:v>35.762601773958011</c:v>
                </c:pt>
                <c:pt idx="53">
                  <c:v>16.221050679663279</c:v>
                </c:pt>
                <c:pt idx="54">
                  <c:v>6.2862751166059123</c:v>
                </c:pt>
                <c:pt idx="55">
                  <c:v>2.0704279037279272</c:v>
                </c:pt>
                <c:pt idx="56">
                  <c:v>0.57721588376840482</c:v>
                </c:pt>
                <c:pt idx="57">
                  <c:v>0.13580124356434806</c:v>
                </c:pt>
                <c:pt idx="58">
                  <c:v>2.6899067930188994E-2</c:v>
                </c:pt>
                <c:pt idx="59">
                  <c:v>4.4775869740277079E-3</c:v>
                </c:pt>
                <c:pt idx="60">
                  <c:v>6.2545580020424794E-4</c:v>
                </c:pt>
                <c:pt idx="61">
                  <c:v>7.323072957345959E-5</c:v>
                </c:pt>
                <c:pt idx="62">
                  <c:v>7.1800668533325003E-6</c:v>
                </c:pt>
                <c:pt idx="63">
                  <c:v>5.8907446386958415E-7</c:v>
                </c:pt>
                <c:pt idx="64">
                  <c:v>4.0415164984227517E-8</c:v>
                </c:pt>
                <c:pt idx="65">
                  <c:v>2.3175137929416353E-9</c:v>
                </c:pt>
                <c:pt idx="66">
                  <c:v>1.1102268692425418E-10</c:v>
                </c:pt>
                <c:pt idx="67">
                  <c:v>4.4417016914671317E-12</c:v>
                </c:pt>
                <c:pt idx="68">
                  <c:v>1.4835282503293178E-13</c:v>
                </c:pt>
                <c:pt idx="69">
                  <c:v>4.1355283857153224E-15</c:v>
                </c:pt>
                <c:pt idx="70">
                  <c:v>9.6194663771728868E-17</c:v>
                </c:pt>
                <c:pt idx="71">
                  <c:v>1.8666597363372252E-18</c:v>
                </c:pt>
                <c:pt idx="72">
                  <c:v>3.0213022567721294E-20</c:v>
                </c:pt>
                <c:pt idx="73">
                  <c:v>4.0781963261526695E-22</c:v>
                </c:pt>
                <c:pt idx="74">
                  <c:v>4.5901319388174135E-24</c:v>
                </c:pt>
                <c:pt idx="75">
                  <c:v>4.307351524789741E-26</c:v>
                </c:pt>
                <c:pt idx="76">
                  <c:v>3.3695701084009905E-28</c:v>
                </c:pt>
                <c:pt idx="77">
                  <c:v>2.197220981564549E-30</c:v>
                </c:pt>
                <c:pt idx="78">
                  <c:v>1.1941764148111626E-32</c:v>
                </c:pt>
                <c:pt idx="79">
                  <c:v>5.409075729791214E-35</c:v>
                </c:pt>
                <c:pt idx="80">
                  <c:v>2.0417621094870513E-37</c:v>
                </c:pt>
                <c:pt idx="81">
                  <c:v>6.4222229453141198E-40</c:v>
                </c:pt>
                <c:pt idx="82">
                  <c:v>1.6832051371007048E-42</c:v>
                </c:pt>
                <c:pt idx="83">
                  <c:v>3.6756634660988068E-45</c:v>
                </c:pt>
                <c:pt idx="84">
                  <c:v>6.6874278758655044E-48</c:v>
                </c:pt>
                <c:pt idx="85">
                  <c:v>1.013646780060922E-50</c:v>
                </c:pt>
                <c:pt idx="86">
                  <c:v>1.2799690686292977E-53</c:v>
                </c:pt>
                <c:pt idx="87">
                  <c:v>1.3464189144066997E-56</c:v>
                </c:pt>
                <c:pt idx="88">
                  <c:v>1.179811870016782E-59</c:v>
                </c:pt>
                <c:pt idx="89">
                  <c:v>8.6115686765437936E-63</c:v>
                </c:pt>
                <c:pt idx="90">
                  <c:v>5.2357021290337903E-66</c:v>
                </c:pt>
                <c:pt idx="91">
                  <c:v>2.6514163205069221E-69</c:v>
                </c:pt>
                <c:pt idx="92">
                  <c:v>1.1183540684801764E-72</c:v>
                </c:pt>
                <c:pt idx="93">
                  <c:v>3.9288730702618125E-76</c:v>
                </c:pt>
                <c:pt idx="94">
                  <c:v>1.1495650960916093E-79</c:v>
                </c:pt>
                <c:pt idx="95">
                  <c:v>2.8013432268025421E-83</c:v>
                </c:pt>
                <c:pt idx="96">
                  <c:v>5.6853494785020198E-87</c:v>
                </c:pt>
                <c:pt idx="97">
                  <c:v>9.6094287423575394E-91</c:v>
                </c:pt>
                <c:pt idx="98">
                  <c:v>1.3526316018369733E-94</c:v>
                </c:pt>
                <c:pt idx="99">
                  <c:v>1.5856068557435244E-98</c:v>
                </c:pt>
                <c:pt idx="100">
                  <c:v>1.547884102286913E-102</c:v>
                </c:pt>
                <c:pt idx="101">
                  <c:v>1.2583504996829156E-106</c:v>
                </c:pt>
                <c:pt idx="102">
                  <c:v>8.5188068647608809E-111</c:v>
                </c:pt>
                <c:pt idx="103">
                  <c:v>4.8024618896143012E-115</c:v>
                </c:pt>
                <c:pt idx="104">
                  <c:v>2.254506353872191E-119</c:v>
                </c:pt>
                <c:pt idx="105">
                  <c:v>8.8132493081797339E-124</c:v>
                </c:pt>
                <c:pt idx="106">
                  <c:v>2.8688818121426995E-128</c:v>
                </c:pt>
                <c:pt idx="107">
                  <c:v>7.7763622554173566E-133</c:v>
                </c:pt>
                <c:pt idx="108">
                  <c:v>1.7551853820990113E-137</c:v>
                </c:pt>
                <c:pt idx="109">
                  <c:v>3.2987383662913836E-142</c:v>
                </c:pt>
                <c:pt idx="110">
                  <c:v>5.1623448967076636E-147</c:v>
                </c:pt>
                <c:pt idx="111">
                  <c:v>6.7269240472020289E-152</c:v>
                </c:pt>
                <c:pt idx="112">
                  <c:v>7.2988203992857063E-157</c:v>
                </c:pt>
                <c:pt idx="113">
                  <c:v>6.594045391180626E-162</c:v>
                </c:pt>
                <c:pt idx="114">
                  <c:v>4.9603338844518524E-167</c:v>
                </c:pt>
                <c:pt idx="115">
                  <c:v>3.1068936331847079E-172</c:v>
                </c:pt>
                <c:pt idx="116">
                  <c:v>1.6202994180137482E-177</c:v>
                </c:pt>
                <c:pt idx="117">
                  <c:v>7.0358186681174745E-183</c:v>
                </c:pt>
                <c:pt idx="118">
                  <c:v>2.5437923353352145E-188</c:v>
                </c:pt>
                <c:pt idx="119">
                  <c:v>7.6576167966245405E-194</c:v>
                </c:pt>
                <c:pt idx="120">
                  <c:v>1.9193226202194043E-199</c:v>
                </c:pt>
                <c:pt idx="121">
                  <c:v>4.0053662782369902E-205</c:v>
                </c:pt>
                <c:pt idx="122">
                  <c:v>6.9594356533003648E-211</c:v>
                </c:pt>
                <c:pt idx="123">
                  <c:v>1.0067950367715257E-216</c:v>
                </c:pt>
                <c:pt idx="124">
                  <c:v>1.2126659387752105E-222</c:v>
                </c:pt>
                <c:pt idx="125">
                  <c:v>1.2161083374434132E-228</c:v>
                </c:pt>
                <c:pt idx="126">
                  <c:v>1.015388662043088E-234</c:v>
                </c:pt>
                <c:pt idx="127">
                  <c:v>7.0586130108623371E-241</c:v>
                </c:pt>
                <c:pt idx="128">
                  <c:v>4.0853718228428199E-247</c:v>
                </c:pt>
                <c:pt idx="129">
                  <c:v>1.9686439021403607E-253</c:v>
                </c:pt>
                <c:pt idx="130">
                  <c:v>7.8981317633018329E-260</c:v>
                </c:pt>
                <c:pt idx="131">
                  <c:v>2.6381625505023636E-266</c:v>
                </c:pt>
                <c:pt idx="132">
                  <c:v>7.33663800120708E-273</c:v>
                </c:pt>
                <c:pt idx="133">
                  <c:v>1.6986716851224576E-279</c:v>
                </c:pt>
                <c:pt idx="134">
                  <c:v>3.2744406959341683E-286</c:v>
                </c:pt>
                <c:pt idx="135">
                  <c:v>5.2550723057675569E-293</c:v>
                </c:pt>
                <c:pt idx="136">
                  <c:v>7.0215462023287513E-300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mooth val="0"/>
          <c:extLst>
            <c:ext xmlns:c16="http://schemas.microsoft.com/office/drawing/2014/chart" uri="{C3380CC4-5D6E-409C-BE32-E72D297353CC}">
              <c16:uniqueId val="{00000000-70F1-49F9-AE03-EE5078A0ACC3}"/>
            </c:ext>
          </c:extLst>
        </c:ser>
        <c:dLbls>
          <c:showLegendKey val="0"/>
          <c:showVal val="0"/>
          <c:showCatName val="0"/>
          <c:showSerName val="0"/>
          <c:showPercent val="0"/>
          <c:showBubbleSize val="0"/>
        </c:dLbls>
        <c:marker val="1"/>
        <c:smooth val="0"/>
        <c:axId val="255192296"/>
        <c:axId val="1"/>
      </c:lineChart>
      <c:catAx>
        <c:axId val="255192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Deprth (cm)</a:t>
                </a:r>
              </a:p>
            </c:rich>
          </c:tx>
          <c:layout>
            <c:manualLayout>
              <c:xMode val="edge"/>
              <c:yMode val="edge"/>
              <c:x val="0.43340309304437141"/>
              <c:y val="0.944297845122300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(ug/l)</a:t>
                </a:r>
              </a:p>
            </c:rich>
          </c:tx>
          <c:layout>
            <c:manualLayout>
              <c:xMode val="edge"/>
              <c:yMode val="edge"/>
              <c:x val="7.0588193510503312E-3"/>
              <c:y val="0.18698472071143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551922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Total Soil Contamination (ug/kg) Verus Depth</a:t>
            </a:r>
          </a:p>
        </c:rich>
      </c:tx>
      <c:layout>
        <c:manualLayout>
          <c:xMode val="edge"/>
          <c:yMode val="edge"/>
          <c:x val="0.14663951120162932"/>
          <c:y val="3.6666666666666667E-2"/>
        </c:manualLayout>
      </c:layout>
      <c:overlay val="0"/>
      <c:spPr>
        <a:noFill/>
        <a:ln w="25400">
          <a:noFill/>
        </a:ln>
      </c:spPr>
    </c:title>
    <c:autoTitleDeleted val="0"/>
    <c:plotArea>
      <c:layout>
        <c:manualLayout>
          <c:layoutTarget val="inner"/>
          <c:xMode val="edge"/>
          <c:yMode val="edge"/>
          <c:x val="0.15668963874789754"/>
          <c:y val="0.11875871950086224"/>
          <c:w val="0.83095723014256617"/>
          <c:h val="0.5166683485297803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numRef>
              <c:f>IntercalcsJury2!$B$114:$B$263</c:f>
              <c:numCache>
                <c:formatCode>General</c:formatCode>
                <c:ptCount val="150"/>
                <c:pt idx="0">
                  <c:v>20</c:v>
                </c:pt>
                <c:pt idx="1">
                  <c:v>40</c:v>
                </c:pt>
                <c:pt idx="2">
                  <c:v>60</c:v>
                </c:pt>
                <c:pt idx="3">
                  <c:v>80</c:v>
                </c:pt>
                <c:pt idx="4">
                  <c:v>100</c:v>
                </c:pt>
                <c:pt idx="5">
                  <c:v>120</c:v>
                </c:pt>
                <c:pt idx="6">
                  <c:v>140</c:v>
                </c:pt>
                <c:pt idx="7">
                  <c:v>160</c:v>
                </c:pt>
                <c:pt idx="8">
                  <c:v>180</c:v>
                </c:pt>
                <c:pt idx="9">
                  <c:v>200</c:v>
                </c:pt>
                <c:pt idx="10">
                  <c:v>220</c:v>
                </c:pt>
                <c:pt idx="11">
                  <c:v>240</c:v>
                </c:pt>
                <c:pt idx="12">
                  <c:v>260</c:v>
                </c:pt>
                <c:pt idx="13">
                  <c:v>280</c:v>
                </c:pt>
                <c:pt idx="14">
                  <c:v>300</c:v>
                </c:pt>
                <c:pt idx="15">
                  <c:v>320</c:v>
                </c:pt>
                <c:pt idx="16">
                  <c:v>340</c:v>
                </c:pt>
                <c:pt idx="17">
                  <c:v>360</c:v>
                </c:pt>
                <c:pt idx="18">
                  <c:v>380</c:v>
                </c:pt>
                <c:pt idx="19">
                  <c:v>400</c:v>
                </c:pt>
                <c:pt idx="20">
                  <c:v>420</c:v>
                </c:pt>
                <c:pt idx="21">
                  <c:v>440</c:v>
                </c:pt>
                <c:pt idx="22">
                  <c:v>460</c:v>
                </c:pt>
                <c:pt idx="23">
                  <c:v>480</c:v>
                </c:pt>
                <c:pt idx="24">
                  <c:v>500</c:v>
                </c:pt>
                <c:pt idx="25">
                  <c:v>520</c:v>
                </c:pt>
                <c:pt idx="26">
                  <c:v>540</c:v>
                </c:pt>
                <c:pt idx="27">
                  <c:v>560</c:v>
                </c:pt>
                <c:pt idx="28">
                  <c:v>580</c:v>
                </c:pt>
                <c:pt idx="29">
                  <c:v>600</c:v>
                </c:pt>
                <c:pt idx="30">
                  <c:v>620</c:v>
                </c:pt>
                <c:pt idx="31">
                  <c:v>640</c:v>
                </c:pt>
                <c:pt idx="32">
                  <c:v>660</c:v>
                </c:pt>
                <c:pt idx="33">
                  <c:v>680</c:v>
                </c:pt>
                <c:pt idx="34">
                  <c:v>700</c:v>
                </c:pt>
                <c:pt idx="35">
                  <c:v>720</c:v>
                </c:pt>
                <c:pt idx="36">
                  <c:v>740</c:v>
                </c:pt>
                <c:pt idx="37">
                  <c:v>760</c:v>
                </c:pt>
                <c:pt idx="38">
                  <c:v>780</c:v>
                </c:pt>
                <c:pt idx="39">
                  <c:v>800</c:v>
                </c:pt>
                <c:pt idx="40">
                  <c:v>820</c:v>
                </c:pt>
                <c:pt idx="41">
                  <c:v>840</c:v>
                </c:pt>
                <c:pt idx="42">
                  <c:v>860</c:v>
                </c:pt>
                <c:pt idx="43">
                  <c:v>880</c:v>
                </c:pt>
                <c:pt idx="44">
                  <c:v>900</c:v>
                </c:pt>
                <c:pt idx="45">
                  <c:v>920</c:v>
                </c:pt>
                <c:pt idx="46">
                  <c:v>940</c:v>
                </c:pt>
                <c:pt idx="47">
                  <c:v>960</c:v>
                </c:pt>
                <c:pt idx="48">
                  <c:v>980</c:v>
                </c:pt>
                <c:pt idx="49">
                  <c:v>1000</c:v>
                </c:pt>
                <c:pt idx="50">
                  <c:v>1020</c:v>
                </c:pt>
                <c:pt idx="51">
                  <c:v>1040</c:v>
                </c:pt>
                <c:pt idx="52">
                  <c:v>1060</c:v>
                </c:pt>
                <c:pt idx="53">
                  <c:v>1080</c:v>
                </c:pt>
                <c:pt idx="54">
                  <c:v>1100</c:v>
                </c:pt>
                <c:pt idx="55">
                  <c:v>1120</c:v>
                </c:pt>
                <c:pt idx="56">
                  <c:v>1140</c:v>
                </c:pt>
                <c:pt idx="57">
                  <c:v>1160</c:v>
                </c:pt>
                <c:pt idx="58">
                  <c:v>1180</c:v>
                </c:pt>
                <c:pt idx="59">
                  <c:v>1200</c:v>
                </c:pt>
                <c:pt idx="60">
                  <c:v>1220</c:v>
                </c:pt>
                <c:pt idx="61">
                  <c:v>1240</c:v>
                </c:pt>
                <c:pt idx="62">
                  <c:v>1260</c:v>
                </c:pt>
                <c:pt idx="63">
                  <c:v>1280</c:v>
                </c:pt>
                <c:pt idx="64">
                  <c:v>1300</c:v>
                </c:pt>
                <c:pt idx="65">
                  <c:v>1320</c:v>
                </c:pt>
                <c:pt idx="66">
                  <c:v>1340</c:v>
                </c:pt>
                <c:pt idx="67">
                  <c:v>1360</c:v>
                </c:pt>
                <c:pt idx="68">
                  <c:v>1380</c:v>
                </c:pt>
                <c:pt idx="69">
                  <c:v>1400</c:v>
                </c:pt>
                <c:pt idx="70">
                  <c:v>1420</c:v>
                </c:pt>
                <c:pt idx="71">
                  <c:v>1440</c:v>
                </c:pt>
                <c:pt idx="72">
                  <c:v>1460</c:v>
                </c:pt>
                <c:pt idx="73">
                  <c:v>1480</c:v>
                </c:pt>
                <c:pt idx="74">
                  <c:v>1500</c:v>
                </c:pt>
                <c:pt idx="75">
                  <c:v>1520</c:v>
                </c:pt>
                <c:pt idx="76">
                  <c:v>1540</c:v>
                </c:pt>
                <c:pt idx="77">
                  <c:v>1560</c:v>
                </c:pt>
                <c:pt idx="78">
                  <c:v>1580</c:v>
                </c:pt>
                <c:pt idx="79">
                  <c:v>1600</c:v>
                </c:pt>
                <c:pt idx="80">
                  <c:v>1620</c:v>
                </c:pt>
                <c:pt idx="81">
                  <c:v>1640</c:v>
                </c:pt>
                <c:pt idx="82">
                  <c:v>1660</c:v>
                </c:pt>
                <c:pt idx="83">
                  <c:v>1680</c:v>
                </c:pt>
                <c:pt idx="84">
                  <c:v>1700</c:v>
                </c:pt>
                <c:pt idx="85">
                  <c:v>1720</c:v>
                </c:pt>
                <c:pt idx="86">
                  <c:v>1740</c:v>
                </c:pt>
                <c:pt idx="87">
                  <c:v>1760</c:v>
                </c:pt>
                <c:pt idx="88">
                  <c:v>1780</c:v>
                </c:pt>
                <c:pt idx="89">
                  <c:v>1800</c:v>
                </c:pt>
                <c:pt idx="90">
                  <c:v>1820</c:v>
                </c:pt>
                <c:pt idx="91">
                  <c:v>1840</c:v>
                </c:pt>
                <c:pt idx="92">
                  <c:v>1860</c:v>
                </c:pt>
                <c:pt idx="93">
                  <c:v>1880</c:v>
                </c:pt>
                <c:pt idx="94">
                  <c:v>1900</c:v>
                </c:pt>
                <c:pt idx="95">
                  <c:v>1920</c:v>
                </c:pt>
                <c:pt idx="96">
                  <c:v>1940</c:v>
                </c:pt>
                <c:pt idx="97">
                  <c:v>1960</c:v>
                </c:pt>
                <c:pt idx="98">
                  <c:v>1980</c:v>
                </c:pt>
                <c:pt idx="99">
                  <c:v>2000</c:v>
                </c:pt>
                <c:pt idx="100">
                  <c:v>2020</c:v>
                </c:pt>
                <c:pt idx="101">
                  <c:v>2040</c:v>
                </c:pt>
                <c:pt idx="102">
                  <c:v>2060</c:v>
                </c:pt>
                <c:pt idx="103">
                  <c:v>2080</c:v>
                </c:pt>
                <c:pt idx="104">
                  <c:v>2100</c:v>
                </c:pt>
                <c:pt idx="105">
                  <c:v>2120</c:v>
                </c:pt>
                <c:pt idx="106">
                  <c:v>2140</c:v>
                </c:pt>
                <c:pt idx="107">
                  <c:v>2160</c:v>
                </c:pt>
                <c:pt idx="108">
                  <c:v>2180</c:v>
                </c:pt>
                <c:pt idx="109">
                  <c:v>2200</c:v>
                </c:pt>
                <c:pt idx="110">
                  <c:v>2220</c:v>
                </c:pt>
                <c:pt idx="111">
                  <c:v>2240</c:v>
                </c:pt>
                <c:pt idx="112">
                  <c:v>2260</c:v>
                </c:pt>
                <c:pt idx="113">
                  <c:v>2280</c:v>
                </c:pt>
                <c:pt idx="114">
                  <c:v>2300</c:v>
                </c:pt>
                <c:pt idx="115">
                  <c:v>2320</c:v>
                </c:pt>
                <c:pt idx="116">
                  <c:v>2340</c:v>
                </c:pt>
                <c:pt idx="117">
                  <c:v>2360</c:v>
                </c:pt>
                <c:pt idx="118">
                  <c:v>2380</c:v>
                </c:pt>
                <c:pt idx="119">
                  <c:v>2400</c:v>
                </c:pt>
                <c:pt idx="120">
                  <c:v>2420</c:v>
                </c:pt>
                <c:pt idx="121">
                  <c:v>2440</c:v>
                </c:pt>
                <c:pt idx="122">
                  <c:v>2460</c:v>
                </c:pt>
                <c:pt idx="123">
                  <c:v>2480</c:v>
                </c:pt>
                <c:pt idx="124">
                  <c:v>2500</c:v>
                </c:pt>
                <c:pt idx="125">
                  <c:v>2520</c:v>
                </c:pt>
                <c:pt idx="126">
                  <c:v>2540</c:v>
                </c:pt>
                <c:pt idx="127">
                  <c:v>2560</c:v>
                </c:pt>
                <c:pt idx="128">
                  <c:v>2580</c:v>
                </c:pt>
                <c:pt idx="129">
                  <c:v>2600</c:v>
                </c:pt>
                <c:pt idx="130">
                  <c:v>2620</c:v>
                </c:pt>
                <c:pt idx="131">
                  <c:v>2640</c:v>
                </c:pt>
                <c:pt idx="132">
                  <c:v>2660</c:v>
                </c:pt>
                <c:pt idx="133">
                  <c:v>2680</c:v>
                </c:pt>
                <c:pt idx="134">
                  <c:v>2700</c:v>
                </c:pt>
                <c:pt idx="135">
                  <c:v>2720</c:v>
                </c:pt>
                <c:pt idx="136">
                  <c:v>2740</c:v>
                </c:pt>
                <c:pt idx="137">
                  <c:v>2760</c:v>
                </c:pt>
                <c:pt idx="138">
                  <c:v>2780</c:v>
                </c:pt>
                <c:pt idx="139">
                  <c:v>2800</c:v>
                </c:pt>
                <c:pt idx="140">
                  <c:v>2820</c:v>
                </c:pt>
                <c:pt idx="141">
                  <c:v>2840</c:v>
                </c:pt>
                <c:pt idx="142">
                  <c:v>2860</c:v>
                </c:pt>
                <c:pt idx="143">
                  <c:v>2880</c:v>
                </c:pt>
                <c:pt idx="144">
                  <c:v>2900</c:v>
                </c:pt>
                <c:pt idx="145">
                  <c:v>2920</c:v>
                </c:pt>
                <c:pt idx="146">
                  <c:v>2940</c:v>
                </c:pt>
                <c:pt idx="147">
                  <c:v>2960</c:v>
                </c:pt>
                <c:pt idx="148">
                  <c:v>2980</c:v>
                </c:pt>
                <c:pt idx="149">
                  <c:v>3000</c:v>
                </c:pt>
              </c:numCache>
            </c:numRef>
          </c:cat>
          <c:val>
            <c:numRef>
              <c:f>IntercalcsJury2!$AK$114:$AK$263</c:f>
              <c:numCache>
                <c:formatCode>General</c:formatCode>
                <c:ptCount val="150"/>
                <c:pt idx="0">
                  <c:v>32.884327439606771</c:v>
                </c:pt>
                <c:pt idx="1">
                  <c:v>60.393039303212795</c:v>
                </c:pt>
                <c:pt idx="2">
                  <c:v>79.642764492347936</c:v>
                </c:pt>
                <c:pt idx="3">
                  <c:v>90.910505252894467</c:v>
                </c:pt>
                <c:pt idx="4">
                  <c:v>96.42727174592585</c:v>
                </c:pt>
                <c:pt idx="5">
                  <c:v>98.686386126604972</c:v>
                </c:pt>
                <c:pt idx="6">
                  <c:v>99.460066484284809</c:v>
                </c:pt>
                <c:pt idx="7">
                  <c:v>99.68163727113577</c:v>
                </c:pt>
                <c:pt idx="8">
                  <c:v>99.734694360180072</c:v>
                </c:pt>
                <c:pt idx="9">
                  <c:v>99.745316253849097</c:v>
                </c:pt>
                <c:pt idx="10">
                  <c:v>99.747093843854884</c:v>
                </c:pt>
                <c:pt idx="11">
                  <c:v>99.747342484690378</c:v>
                </c:pt>
                <c:pt idx="12">
                  <c:v>99.747371549124892</c:v>
                </c:pt>
                <c:pt idx="13">
                  <c:v>99.747374387927366</c:v>
                </c:pt>
                <c:pt idx="14">
                  <c:v>99.747374619574131</c:v>
                </c:pt>
                <c:pt idx="15">
                  <c:v>99.747374635363613</c:v>
                </c:pt>
                <c:pt idx="16">
                  <c:v>99.747374636262492</c:v>
                </c:pt>
                <c:pt idx="17">
                  <c:v>99.747374636305224</c:v>
                </c:pt>
                <c:pt idx="18">
                  <c:v>99.747374636306915</c:v>
                </c:pt>
                <c:pt idx="19">
                  <c:v>99.747374636306972</c:v>
                </c:pt>
                <c:pt idx="20">
                  <c:v>99.747374636306972</c:v>
                </c:pt>
                <c:pt idx="21">
                  <c:v>99.747374636306972</c:v>
                </c:pt>
                <c:pt idx="22">
                  <c:v>99.747374636306972</c:v>
                </c:pt>
                <c:pt idx="23">
                  <c:v>99.747374636306972</c:v>
                </c:pt>
                <c:pt idx="24">
                  <c:v>99.747374636306972</c:v>
                </c:pt>
                <c:pt idx="25">
                  <c:v>99.747374636306972</c:v>
                </c:pt>
                <c:pt idx="26">
                  <c:v>99.747374636306972</c:v>
                </c:pt>
                <c:pt idx="27">
                  <c:v>99.747374636306972</c:v>
                </c:pt>
                <c:pt idx="28">
                  <c:v>99.747374636306972</c:v>
                </c:pt>
                <c:pt idx="29">
                  <c:v>99.747374636306972</c:v>
                </c:pt>
                <c:pt idx="30">
                  <c:v>99.747374636306972</c:v>
                </c:pt>
                <c:pt idx="31">
                  <c:v>99.747374636306702</c:v>
                </c:pt>
                <c:pt idx="32">
                  <c:v>99.747374636299611</c:v>
                </c:pt>
                <c:pt idx="33">
                  <c:v>99.747374636138446</c:v>
                </c:pt>
                <c:pt idx="34">
                  <c:v>99.747374633086267</c:v>
                </c:pt>
                <c:pt idx="35">
                  <c:v>99.747374584874677</c:v>
                </c:pt>
                <c:pt idx="36">
                  <c:v>99.74737394966175</c:v>
                </c:pt>
                <c:pt idx="37">
                  <c:v>99.747366968176067</c:v>
                </c:pt>
                <c:pt idx="38">
                  <c:v>99.747302954677579</c:v>
                </c:pt>
                <c:pt idx="39">
                  <c:v>99.746813261141909</c:v>
                </c:pt>
                <c:pt idx="40">
                  <c:v>99.743687619498814</c:v>
                </c:pt>
                <c:pt idx="41">
                  <c:v>99.72704017503699</c:v>
                </c:pt>
                <c:pt idx="42">
                  <c:v>99.653049085465312</c:v>
                </c:pt>
                <c:pt idx="43">
                  <c:v>99.378599512080442</c:v>
                </c:pt>
                <c:pt idx="44">
                  <c:v>98.528984031861768</c:v>
                </c:pt>
                <c:pt idx="45">
                  <c:v>96.333745677050942</c:v>
                </c:pt>
                <c:pt idx="46">
                  <c:v>91.599399744137813</c:v>
                </c:pt>
                <c:pt idx="47">
                  <c:v>83.076769888623787</c:v>
                </c:pt>
                <c:pt idx="48">
                  <c:v>70.270126749813087</c:v>
                </c:pt>
                <c:pt idx="49">
                  <c:v>54.206116861438616</c:v>
                </c:pt>
                <c:pt idx="50">
                  <c:v>37.385783128121496</c:v>
                </c:pt>
                <c:pt idx="51">
                  <c:v>22.683720537484955</c:v>
                </c:pt>
                <c:pt idx="52">
                  <c:v>11.956629859759961</c:v>
                </c:pt>
                <c:pt idx="53">
                  <c:v>5.4232379439007561</c:v>
                </c:pt>
                <c:pt idx="54">
                  <c:v>2.101711313985243</c:v>
                </c:pt>
                <c:pt idx="55">
                  <c:v>0.69221306247970349</c:v>
                </c:pt>
                <c:pt idx="56">
                  <c:v>0.19298251047323664</c:v>
                </c:pt>
                <c:pt idx="57">
                  <c:v>4.5402882431680364E-2</c:v>
                </c:pt>
                <c:pt idx="58">
                  <c:v>8.9932550446598526E-3</c:v>
                </c:pt>
                <c:pt idx="59">
                  <c:v>1.4970065783165966E-3</c:v>
                </c:pt>
                <c:pt idx="60">
                  <c:v>2.0911072253495353E-4</c:v>
                </c:pt>
                <c:pt idx="61">
                  <c:v>2.4483473920726653E-5</c:v>
                </c:pt>
                <c:pt idx="62">
                  <c:v>2.400535684630832E-6</c:v>
                </c:pt>
                <c:pt idx="63">
                  <c:v>1.9694722908706427E-7</c:v>
                </c:pt>
                <c:pt idx="64">
                  <c:v>1.3512136826393399E-8</c:v>
                </c:pt>
                <c:pt idx="65">
                  <c:v>7.748221114401532E-10</c:v>
                </c:pt>
                <c:pt idx="66">
                  <c:v>3.7118584995008974E-11</c:v>
                </c:pt>
                <c:pt idx="67">
                  <c:v>1.4850089321805107E-12</c:v>
                </c:pt>
                <c:pt idx="68">
                  <c:v>4.9599294502676847E-14</c:v>
                </c:pt>
                <c:pt idx="69">
                  <c:v>1.3826449902908225E-15</c:v>
                </c:pt>
                <c:pt idx="70">
                  <c:v>3.2161082587681345E-17</c:v>
                </c:pt>
                <c:pt idx="71">
                  <c:v>6.2408657184874555E-19</c:v>
                </c:pt>
                <c:pt idx="72">
                  <c:v>1.0101220545141485E-20</c:v>
                </c:pt>
                <c:pt idx="73">
                  <c:v>1.3634769717103756E-22</c:v>
                </c:pt>
                <c:pt idx="74">
                  <c:v>1.5346341115446215E-24</c:v>
                </c:pt>
                <c:pt idx="75">
                  <c:v>1.4400911931213697E-26</c:v>
                </c:pt>
                <c:pt idx="76">
                  <c:v>1.1265596062420643E-28</c:v>
                </c:pt>
                <c:pt idx="77">
                  <c:v>7.3460421483641407E-31</c:v>
                </c:pt>
                <c:pt idx="78">
                  <c:v>3.9925298135186524E-33</c:v>
                </c:pt>
                <c:pt idx="79">
                  <c:v>1.8084343189935288E-35</c:v>
                </c:pt>
                <c:pt idx="80">
                  <c:v>6.8262913193850412E-38</c:v>
                </c:pt>
                <c:pt idx="81">
                  <c:v>2.1471632047166869E-40</c:v>
                </c:pt>
                <c:pt idx="82">
                  <c:v>5.627515841706689E-43</c:v>
                </c:pt>
                <c:pt idx="83">
                  <c:v>1.2288968188323675E-45</c:v>
                </c:pt>
                <c:pt idx="84">
                  <c:v>2.2358300531643665E-48</c:v>
                </c:pt>
                <c:pt idx="85">
                  <c:v>3.3889590680036821E-51</c:v>
                </c:pt>
                <c:pt idx="86">
                  <c:v>4.2793632527839513E-54</c:v>
                </c:pt>
                <c:pt idx="87">
                  <c:v>4.501527237166399E-57</c:v>
                </c:pt>
                <c:pt idx="88">
                  <c:v>3.9445043520894407E-60</c:v>
                </c:pt>
                <c:pt idx="89">
                  <c:v>2.8791344608578081E-63</c:v>
                </c:pt>
                <c:pt idx="90">
                  <c:v>1.7504697451402968E-66</c:v>
                </c:pt>
                <c:pt idx="91">
                  <c:v>8.8645685648948092E-70</c:v>
                </c:pt>
                <c:pt idx="92">
                  <c:v>3.7390304356187226E-73</c:v>
                </c:pt>
                <c:pt idx="93">
                  <c:v>1.3135532298241991E-76</c:v>
                </c:pt>
                <c:pt idx="94">
                  <c:v>3.843379304599613E-80</c:v>
                </c:pt>
                <c:pt idx="95">
                  <c:v>9.3658241882764986E-84</c:v>
                </c:pt>
                <c:pt idx="96">
                  <c:v>1.9008018423125082E-87</c:v>
                </c:pt>
                <c:pt idx="97">
                  <c:v>3.2127523428615365E-91</c:v>
                </c:pt>
                <c:pt idx="98">
                  <c:v>4.5222983221416129E-95</c:v>
                </c:pt>
                <c:pt idx="99">
                  <c:v>5.3012122543691822E-99</c:v>
                </c:pt>
                <c:pt idx="100">
                  <c:v>5.1750925153125782E-103</c:v>
                </c:pt>
                <c:pt idx="101">
                  <c:v>4.2070851706065469E-107</c:v>
                </c:pt>
                <c:pt idx="102">
                  <c:v>2.8481210951183872E-111</c:v>
                </c:pt>
                <c:pt idx="103">
                  <c:v>1.6056230917610475E-115</c:v>
                </c:pt>
                <c:pt idx="104">
                  <c:v>7.5375662431126915E-120</c:v>
                </c:pt>
                <c:pt idx="105">
                  <c:v>2.9465630187014242E-124</c:v>
                </c:pt>
                <c:pt idx="106">
                  <c:v>9.5916281919304231E-129</c:v>
                </c:pt>
                <c:pt idx="107">
                  <c:v>2.5998971140612023E-133</c:v>
                </c:pt>
                <c:pt idx="108">
                  <c:v>5.868169794151026E-138</c:v>
                </c:pt>
                <c:pt idx="109">
                  <c:v>1.1028781937967525E-142</c:v>
                </c:pt>
                <c:pt idx="110">
                  <c:v>1.7259439771325953E-147</c:v>
                </c:pt>
                <c:pt idx="111">
                  <c:v>2.2490349397812111E-152</c:v>
                </c:pt>
                <c:pt idx="112">
                  <c:v>2.4402389534945206E-157</c:v>
                </c:pt>
                <c:pt idx="113">
                  <c:v>2.2046091757847222E-162</c:v>
                </c:pt>
                <c:pt idx="114">
                  <c:v>1.658404962035069E-167</c:v>
                </c:pt>
                <c:pt idx="115">
                  <c:v>1.038738104694754E-172</c:v>
                </c:pt>
                <c:pt idx="116">
                  <c:v>5.4172010542259631E-178</c:v>
                </c:pt>
                <c:pt idx="117">
                  <c:v>2.3523087080406085E-183</c:v>
                </c:pt>
                <c:pt idx="118">
                  <c:v>8.5047457078040648E-189</c:v>
                </c:pt>
                <c:pt idx="119">
                  <c:v>2.560196549004804E-194</c:v>
                </c:pt>
                <c:pt idx="120">
                  <c:v>6.4169352936002072E-200</c:v>
                </c:pt>
                <c:pt idx="121">
                  <c:v>1.3391274590239004E-205</c:v>
                </c:pt>
                <c:pt idx="122">
                  <c:v>2.3267713200867549E-211</c:v>
                </c:pt>
                <c:pt idx="123">
                  <c:v>3.3660514062728005E-217</c:v>
                </c:pt>
                <c:pt idx="124">
                  <c:v>4.0543464553051195E-223</c:v>
                </c:pt>
                <c:pt idx="125">
                  <c:v>4.0658555415191443E-229</c:v>
                </c:pt>
                <c:pt idx="126">
                  <c:v>3.3947827600973905E-235</c:v>
                </c:pt>
                <c:pt idx="127">
                  <c:v>2.3599296166316407E-241</c:v>
                </c:pt>
                <c:pt idx="128">
                  <c:v>1.365875979437116E-247</c:v>
                </c:pt>
                <c:pt idx="129">
                  <c:v>6.581832779489271E-254</c:v>
                </c:pt>
                <c:pt idx="130">
                  <c:v>2.6406087195305788E-260</c:v>
                </c:pt>
                <c:pt idx="131">
                  <c:v>8.8202567938462335E-267</c:v>
                </c:pt>
                <c:pt idx="132">
                  <c:v>2.4528826384035667E-273</c:v>
                </c:pt>
                <c:pt idx="133">
                  <c:v>5.6792256672594151E-280</c:v>
                </c:pt>
                <c:pt idx="134">
                  <c:v>1.09475467267399E-286</c:v>
                </c:pt>
                <c:pt idx="135">
                  <c:v>1.7569458408949528E-293</c:v>
                </c:pt>
                <c:pt idx="136">
                  <c:v>2.3475369469785784E-300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mooth val="0"/>
          <c:extLst>
            <c:ext xmlns:c16="http://schemas.microsoft.com/office/drawing/2014/chart" uri="{C3380CC4-5D6E-409C-BE32-E72D297353CC}">
              <c16:uniqueId val="{00000000-415A-4281-9694-0CF189DAF453}"/>
            </c:ext>
          </c:extLst>
        </c:ser>
        <c:dLbls>
          <c:showLegendKey val="0"/>
          <c:showVal val="0"/>
          <c:showCatName val="0"/>
          <c:showSerName val="0"/>
          <c:showPercent val="0"/>
          <c:showBubbleSize val="0"/>
        </c:dLbls>
        <c:marker val="1"/>
        <c:smooth val="0"/>
        <c:axId val="489615216"/>
        <c:axId val="1"/>
      </c:lineChart>
      <c:catAx>
        <c:axId val="48961521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Depth (cm)</a:t>
                </a:r>
              </a:p>
            </c:rich>
          </c:tx>
          <c:layout>
            <c:manualLayout>
              <c:xMode val="edge"/>
              <c:yMode val="edge"/>
              <c:x val="0.43984023736163413"/>
              <c:y val="0.944297828741356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9"/>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(ug/kg)</a:t>
                </a:r>
              </a:p>
            </c:rich>
          </c:tx>
          <c:layout>
            <c:manualLayout>
              <c:xMode val="edge"/>
              <c:yMode val="edge"/>
              <c:x val="1.2539738538568873E-2"/>
              <c:y val="0.188254790948904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89615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37</xdr:row>
          <xdr:rowOff>76200</xdr:rowOff>
        </xdr:from>
        <xdr:to>
          <xdr:col>4</xdr:col>
          <xdr:colOff>1638300</xdr:colOff>
          <xdr:row>40</xdr:row>
          <xdr:rowOff>144780</xdr:rowOff>
        </xdr:to>
        <xdr:sp macro="" textlink="">
          <xdr:nvSpPr>
            <xdr:cNvPr id="4180" name="CommandButton4"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23</xdr:col>
      <xdr:colOff>9525</xdr:colOff>
      <xdr:row>7</xdr:row>
      <xdr:rowOff>85725</xdr:rowOff>
    </xdr:from>
    <xdr:to>
      <xdr:col>24</xdr:col>
      <xdr:colOff>462641</xdr:colOff>
      <xdr:row>7</xdr:row>
      <xdr:rowOff>95249</xdr:rowOff>
    </xdr:to>
    <xdr:sp macro="" textlink="">
      <xdr:nvSpPr>
        <xdr:cNvPr id="157" name="Line 2">
          <a:extLst>
            <a:ext uri="{FF2B5EF4-FFF2-40B4-BE49-F238E27FC236}">
              <a16:creationId xmlns:a16="http://schemas.microsoft.com/office/drawing/2014/main" id="{00000000-0008-0000-0300-00009D000000}"/>
            </a:ext>
          </a:extLst>
        </xdr:cNvPr>
        <xdr:cNvSpPr>
          <a:spLocks noChangeShapeType="1"/>
        </xdr:cNvSpPr>
      </xdr:nvSpPr>
      <xdr:spPr bwMode="auto">
        <a:xfrm flipH="1" flipV="1">
          <a:off x="15420975" y="1743075"/>
          <a:ext cx="948416" cy="9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477088</xdr:colOff>
      <xdr:row>14</xdr:row>
      <xdr:rowOff>174172</xdr:rowOff>
    </xdr:from>
    <xdr:to>
      <xdr:col>28</xdr:col>
      <xdr:colOff>6280</xdr:colOff>
      <xdr:row>14</xdr:row>
      <xdr:rowOff>176892</xdr:rowOff>
    </xdr:to>
    <xdr:sp macro="" textlink="">
      <xdr:nvSpPr>
        <xdr:cNvPr id="158" name="Line 3">
          <a:extLst>
            <a:ext uri="{FF2B5EF4-FFF2-40B4-BE49-F238E27FC236}">
              <a16:creationId xmlns:a16="http://schemas.microsoft.com/office/drawing/2014/main" id="{00000000-0008-0000-0300-00009E000000}"/>
            </a:ext>
          </a:extLst>
        </xdr:cNvPr>
        <xdr:cNvSpPr>
          <a:spLocks noChangeShapeType="1"/>
        </xdr:cNvSpPr>
      </xdr:nvSpPr>
      <xdr:spPr bwMode="auto">
        <a:xfrm>
          <a:off x="12324723" y="2973057"/>
          <a:ext cx="5507961" cy="2720"/>
        </a:xfrm>
        <a:prstGeom prst="line">
          <a:avLst/>
        </a:prstGeom>
        <a:noFill/>
        <a:ln w="28575">
          <a:solidFill>
            <a:schemeClr val="accent1">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49695</xdr:colOff>
      <xdr:row>7</xdr:row>
      <xdr:rowOff>85724</xdr:rowOff>
    </xdr:from>
    <xdr:to>
      <xdr:col>22</xdr:col>
      <xdr:colOff>466725</xdr:colOff>
      <xdr:row>7</xdr:row>
      <xdr:rowOff>91106</xdr:rowOff>
    </xdr:to>
    <xdr:sp macro="" textlink="">
      <xdr:nvSpPr>
        <xdr:cNvPr id="159" name="Line 4">
          <a:extLst>
            <a:ext uri="{FF2B5EF4-FFF2-40B4-BE49-F238E27FC236}">
              <a16:creationId xmlns:a16="http://schemas.microsoft.com/office/drawing/2014/main" id="{00000000-0008-0000-0300-00009F000000}"/>
            </a:ext>
          </a:extLst>
        </xdr:cNvPr>
        <xdr:cNvSpPr>
          <a:spLocks noChangeShapeType="1"/>
        </xdr:cNvSpPr>
      </xdr:nvSpPr>
      <xdr:spPr bwMode="auto">
        <a:xfrm flipV="1">
          <a:off x="14470545" y="1743074"/>
          <a:ext cx="912330" cy="53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xdr:row>
      <xdr:rowOff>91108</xdr:rowOff>
    </xdr:from>
    <xdr:to>
      <xdr:col>19</xdr:col>
      <xdr:colOff>430695</xdr:colOff>
      <xdr:row>7</xdr:row>
      <xdr:rowOff>95250</xdr:rowOff>
    </xdr:to>
    <xdr:sp macro="" textlink="">
      <xdr:nvSpPr>
        <xdr:cNvPr id="160" name="Line 5">
          <a:extLst>
            <a:ext uri="{FF2B5EF4-FFF2-40B4-BE49-F238E27FC236}">
              <a16:creationId xmlns:a16="http://schemas.microsoft.com/office/drawing/2014/main" id="{00000000-0008-0000-0300-0000A0000000}"/>
            </a:ext>
          </a:extLst>
        </xdr:cNvPr>
        <xdr:cNvSpPr>
          <a:spLocks noChangeShapeType="1"/>
        </xdr:cNvSpPr>
      </xdr:nvSpPr>
      <xdr:spPr bwMode="auto">
        <a:xfrm flipH="1">
          <a:off x="12846326" y="1747630"/>
          <a:ext cx="927652" cy="41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92766</xdr:colOff>
      <xdr:row>22</xdr:row>
      <xdr:rowOff>28575</xdr:rowOff>
    </xdr:from>
    <xdr:to>
      <xdr:col>18</xdr:col>
      <xdr:colOff>99392</xdr:colOff>
      <xdr:row>36</xdr:row>
      <xdr:rowOff>0</xdr:rowOff>
    </xdr:to>
    <xdr:sp macro="" textlink="">
      <xdr:nvSpPr>
        <xdr:cNvPr id="161" name="Line 7">
          <a:extLst>
            <a:ext uri="{FF2B5EF4-FFF2-40B4-BE49-F238E27FC236}">
              <a16:creationId xmlns:a16="http://schemas.microsoft.com/office/drawing/2014/main" id="{00000000-0008-0000-0300-0000A1000000}"/>
            </a:ext>
          </a:extLst>
        </xdr:cNvPr>
        <xdr:cNvSpPr>
          <a:spLocks noChangeShapeType="1"/>
        </xdr:cNvSpPr>
      </xdr:nvSpPr>
      <xdr:spPr bwMode="auto">
        <a:xfrm>
          <a:off x="12939092" y="4352097"/>
          <a:ext cx="6626" cy="2066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167216</xdr:colOff>
      <xdr:row>15</xdr:row>
      <xdr:rowOff>10583</xdr:rowOff>
    </xdr:from>
    <xdr:to>
      <xdr:col>16</xdr:col>
      <xdr:colOff>167216</xdr:colOff>
      <xdr:row>24</xdr:row>
      <xdr:rowOff>10583</xdr:rowOff>
    </xdr:to>
    <xdr:sp macro="" textlink="">
      <xdr:nvSpPr>
        <xdr:cNvPr id="162" name="Line 8">
          <a:extLst>
            <a:ext uri="{FF2B5EF4-FFF2-40B4-BE49-F238E27FC236}">
              <a16:creationId xmlns:a16="http://schemas.microsoft.com/office/drawing/2014/main" id="{00000000-0008-0000-0300-0000A2000000}"/>
            </a:ext>
          </a:extLst>
        </xdr:cNvPr>
        <xdr:cNvSpPr>
          <a:spLocks noChangeShapeType="1"/>
        </xdr:cNvSpPr>
      </xdr:nvSpPr>
      <xdr:spPr bwMode="auto">
        <a:xfrm flipV="1">
          <a:off x="21485898" y="14557856"/>
          <a:ext cx="0" cy="1905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496955</xdr:colOff>
      <xdr:row>27</xdr:row>
      <xdr:rowOff>33619</xdr:rowOff>
    </xdr:from>
    <xdr:to>
      <xdr:col>26</xdr:col>
      <xdr:colOff>212910</xdr:colOff>
      <xdr:row>27</xdr:row>
      <xdr:rowOff>41413</xdr:rowOff>
    </xdr:to>
    <xdr:sp macro="" textlink="">
      <xdr:nvSpPr>
        <xdr:cNvPr id="163" name="Line 9">
          <a:extLst>
            <a:ext uri="{FF2B5EF4-FFF2-40B4-BE49-F238E27FC236}">
              <a16:creationId xmlns:a16="http://schemas.microsoft.com/office/drawing/2014/main" id="{00000000-0008-0000-0300-0000A3000000}"/>
            </a:ext>
          </a:extLst>
        </xdr:cNvPr>
        <xdr:cNvSpPr>
          <a:spLocks noChangeShapeType="1"/>
        </xdr:cNvSpPr>
      </xdr:nvSpPr>
      <xdr:spPr bwMode="auto">
        <a:xfrm flipH="1">
          <a:off x="14834151" y="5309641"/>
          <a:ext cx="2200737" cy="77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16564</xdr:colOff>
      <xdr:row>25</xdr:row>
      <xdr:rowOff>49694</xdr:rowOff>
    </xdr:from>
    <xdr:to>
      <xdr:col>26</xdr:col>
      <xdr:colOff>201704</xdr:colOff>
      <xdr:row>27</xdr:row>
      <xdr:rowOff>22411</xdr:rowOff>
    </xdr:to>
    <xdr:sp macro="" textlink="">
      <xdr:nvSpPr>
        <xdr:cNvPr id="164" name="Line 10">
          <a:extLst>
            <a:ext uri="{FF2B5EF4-FFF2-40B4-BE49-F238E27FC236}">
              <a16:creationId xmlns:a16="http://schemas.microsoft.com/office/drawing/2014/main" id="{00000000-0008-0000-0300-0000A4000000}"/>
            </a:ext>
          </a:extLst>
        </xdr:cNvPr>
        <xdr:cNvSpPr>
          <a:spLocks noChangeShapeType="1"/>
        </xdr:cNvSpPr>
      </xdr:nvSpPr>
      <xdr:spPr bwMode="auto">
        <a:xfrm flipH="1" flipV="1">
          <a:off x="15347673" y="4944716"/>
          <a:ext cx="1676009" cy="3537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273326</xdr:colOff>
      <xdr:row>19</xdr:row>
      <xdr:rowOff>33129</xdr:rowOff>
    </xdr:from>
    <xdr:to>
      <xdr:col>26</xdr:col>
      <xdr:colOff>212910</xdr:colOff>
      <xdr:row>27</xdr:row>
      <xdr:rowOff>44335</xdr:rowOff>
    </xdr:to>
    <xdr:sp macro="" textlink="">
      <xdr:nvSpPr>
        <xdr:cNvPr id="165" name="Line 11">
          <a:extLst>
            <a:ext uri="{FF2B5EF4-FFF2-40B4-BE49-F238E27FC236}">
              <a16:creationId xmlns:a16="http://schemas.microsoft.com/office/drawing/2014/main" id="{00000000-0008-0000-0300-0000A5000000}"/>
            </a:ext>
          </a:extLst>
        </xdr:cNvPr>
        <xdr:cNvSpPr>
          <a:spLocks noChangeShapeType="1"/>
        </xdr:cNvSpPr>
      </xdr:nvSpPr>
      <xdr:spPr bwMode="auto">
        <a:xfrm flipH="1" flipV="1">
          <a:off x="16598348" y="3785151"/>
          <a:ext cx="436540" cy="1535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40</xdr:row>
      <xdr:rowOff>95250</xdr:rowOff>
    </xdr:from>
    <xdr:to>
      <xdr:col>19</xdr:col>
      <xdr:colOff>462643</xdr:colOff>
      <xdr:row>40</xdr:row>
      <xdr:rowOff>95250</xdr:rowOff>
    </xdr:to>
    <xdr:sp macro="" textlink="">
      <xdr:nvSpPr>
        <xdr:cNvPr id="166" name="Line 13">
          <a:extLst>
            <a:ext uri="{FF2B5EF4-FFF2-40B4-BE49-F238E27FC236}">
              <a16:creationId xmlns:a16="http://schemas.microsoft.com/office/drawing/2014/main" id="{00000000-0008-0000-0300-0000A6000000}"/>
            </a:ext>
          </a:extLst>
        </xdr:cNvPr>
        <xdr:cNvSpPr>
          <a:spLocks noChangeShapeType="1"/>
        </xdr:cNvSpPr>
      </xdr:nvSpPr>
      <xdr:spPr bwMode="auto">
        <a:xfrm flipH="1">
          <a:off x="12831536" y="7279821"/>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156633</xdr:colOff>
      <xdr:row>25</xdr:row>
      <xdr:rowOff>28575</xdr:rowOff>
    </xdr:from>
    <xdr:to>
      <xdr:col>16</xdr:col>
      <xdr:colOff>156633</xdr:colOff>
      <xdr:row>41</xdr:row>
      <xdr:rowOff>152400</xdr:rowOff>
    </xdr:to>
    <xdr:sp macro="" textlink="">
      <xdr:nvSpPr>
        <xdr:cNvPr id="167" name="Line 17">
          <a:extLst>
            <a:ext uri="{FF2B5EF4-FFF2-40B4-BE49-F238E27FC236}">
              <a16:creationId xmlns:a16="http://schemas.microsoft.com/office/drawing/2014/main" id="{00000000-0008-0000-0300-0000A7000000}"/>
            </a:ext>
          </a:extLst>
        </xdr:cNvPr>
        <xdr:cNvSpPr>
          <a:spLocks noChangeShapeType="1"/>
        </xdr:cNvSpPr>
      </xdr:nvSpPr>
      <xdr:spPr bwMode="auto">
        <a:xfrm>
          <a:off x="21475315" y="16671348"/>
          <a:ext cx="0" cy="32930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219075</xdr:colOff>
      <xdr:row>9</xdr:row>
      <xdr:rowOff>0</xdr:rowOff>
    </xdr:from>
    <xdr:to>
      <xdr:col>28</xdr:col>
      <xdr:colOff>219075</xdr:colOff>
      <xdr:row>10</xdr:row>
      <xdr:rowOff>0</xdr:rowOff>
    </xdr:to>
    <xdr:sp macro="" textlink="">
      <xdr:nvSpPr>
        <xdr:cNvPr id="168" name="Line 18">
          <a:extLst>
            <a:ext uri="{FF2B5EF4-FFF2-40B4-BE49-F238E27FC236}">
              <a16:creationId xmlns:a16="http://schemas.microsoft.com/office/drawing/2014/main" id="{00000000-0008-0000-0300-0000A8000000}"/>
            </a:ext>
          </a:extLst>
        </xdr:cNvPr>
        <xdr:cNvSpPr>
          <a:spLocks noChangeShapeType="1"/>
        </xdr:cNvSpPr>
      </xdr:nvSpPr>
      <xdr:spPr bwMode="auto">
        <a:xfrm flipV="1">
          <a:off x="26144393" y="13421591"/>
          <a:ext cx="0" cy="1558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223631</xdr:colOff>
      <xdr:row>11</xdr:row>
      <xdr:rowOff>25619</xdr:rowOff>
    </xdr:from>
    <xdr:to>
      <xdr:col>28</xdr:col>
      <xdr:colOff>224987</xdr:colOff>
      <xdr:row>14</xdr:row>
      <xdr:rowOff>33130</xdr:rowOff>
    </xdr:to>
    <xdr:sp macro="" textlink="">
      <xdr:nvSpPr>
        <xdr:cNvPr id="169" name="Line 19">
          <a:extLst>
            <a:ext uri="{FF2B5EF4-FFF2-40B4-BE49-F238E27FC236}">
              <a16:creationId xmlns:a16="http://schemas.microsoft.com/office/drawing/2014/main" id="{00000000-0008-0000-0300-0000A9000000}"/>
            </a:ext>
          </a:extLst>
        </xdr:cNvPr>
        <xdr:cNvSpPr>
          <a:spLocks noChangeShapeType="1"/>
        </xdr:cNvSpPr>
      </xdr:nvSpPr>
      <xdr:spPr bwMode="auto">
        <a:xfrm flipH="1">
          <a:off x="26148949" y="13793574"/>
          <a:ext cx="1356" cy="5790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16564</xdr:colOff>
      <xdr:row>23</xdr:row>
      <xdr:rowOff>41413</xdr:rowOff>
    </xdr:from>
    <xdr:to>
      <xdr:col>26</xdr:col>
      <xdr:colOff>212908</xdr:colOff>
      <xdr:row>27</xdr:row>
      <xdr:rowOff>44821</xdr:rowOff>
    </xdr:to>
    <xdr:sp macro="" textlink="">
      <xdr:nvSpPr>
        <xdr:cNvPr id="170" name="Line 20">
          <a:extLst>
            <a:ext uri="{FF2B5EF4-FFF2-40B4-BE49-F238E27FC236}">
              <a16:creationId xmlns:a16="http://schemas.microsoft.com/office/drawing/2014/main" id="{00000000-0008-0000-0300-0000AA000000}"/>
            </a:ext>
          </a:extLst>
        </xdr:cNvPr>
        <xdr:cNvSpPr>
          <a:spLocks noChangeShapeType="1"/>
        </xdr:cNvSpPr>
      </xdr:nvSpPr>
      <xdr:spPr bwMode="auto">
        <a:xfrm flipH="1" flipV="1">
          <a:off x="15844629" y="4555435"/>
          <a:ext cx="1190257" cy="7654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20</xdr:row>
      <xdr:rowOff>165652</xdr:rowOff>
    </xdr:from>
    <xdr:to>
      <xdr:col>26</xdr:col>
      <xdr:colOff>212910</xdr:colOff>
      <xdr:row>27</xdr:row>
      <xdr:rowOff>33618</xdr:rowOff>
    </xdr:to>
    <xdr:sp macro="" textlink="">
      <xdr:nvSpPr>
        <xdr:cNvPr id="171" name="Line 21">
          <a:extLst>
            <a:ext uri="{FF2B5EF4-FFF2-40B4-BE49-F238E27FC236}">
              <a16:creationId xmlns:a16="http://schemas.microsoft.com/office/drawing/2014/main" id="{00000000-0008-0000-0300-0000AB000000}"/>
            </a:ext>
          </a:extLst>
        </xdr:cNvPr>
        <xdr:cNvSpPr>
          <a:spLocks noChangeShapeType="1"/>
        </xdr:cNvSpPr>
      </xdr:nvSpPr>
      <xdr:spPr bwMode="auto">
        <a:xfrm flipH="1" flipV="1">
          <a:off x="16325022" y="4108174"/>
          <a:ext cx="709866" cy="12014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19048</xdr:colOff>
      <xdr:row>27</xdr:row>
      <xdr:rowOff>24848</xdr:rowOff>
    </xdr:from>
    <xdr:to>
      <xdr:col>26</xdr:col>
      <xdr:colOff>256760</xdr:colOff>
      <xdr:row>35</xdr:row>
      <xdr:rowOff>19050</xdr:rowOff>
    </xdr:to>
    <xdr:sp macro="" textlink="">
      <xdr:nvSpPr>
        <xdr:cNvPr id="172" name="Line 22">
          <a:extLst>
            <a:ext uri="{FF2B5EF4-FFF2-40B4-BE49-F238E27FC236}">
              <a16:creationId xmlns:a16="http://schemas.microsoft.com/office/drawing/2014/main" id="{00000000-0008-0000-0300-0000AC000000}"/>
            </a:ext>
          </a:extLst>
        </xdr:cNvPr>
        <xdr:cNvSpPr>
          <a:spLocks noChangeShapeType="1"/>
        </xdr:cNvSpPr>
      </xdr:nvSpPr>
      <xdr:spPr bwMode="auto">
        <a:xfrm flipH="1">
          <a:off x="13362331" y="5300870"/>
          <a:ext cx="3716407" cy="9467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56030</xdr:rowOff>
    </xdr:from>
    <xdr:to>
      <xdr:col>26</xdr:col>
      <xdr:colOff>201705</xdr:colOff>
      <xdr:row>30</xdr:row>
      <xdr:rowOff>9526</xdr:rowOff>
    </xdr:to>
    <xdr:sp macro="" textlink="">
      <xdr:nvSpPr>
        <xdr:cNvPr id="173" name="Line 23">
          <a:extLst>
            <a:ext uri="{FF2B5EF4-FFF2-40B4-BE49-F238E27FC236}">
              <a16:creationId xmlns:a16="http://schemas.microsoft.com/office/drawing/2014/main" id="{00000000-0008-0000-0300-0000AD000000}"/>
            </a:ext>
          </a:extLst>
        </xdr:cNvPr>
        <xdr:cNvSpPr>
          <a:spLocks noChangeShapeType="1"/>
        </xdr:cNvSpPr>
      </xdr:nvSpPr>
      <xdr:spPr bwMode="auto">
        <a:xfrm flipH="1">
          <a:off x="23015864" y="17131757"/>
          <a:ext cx="2383796" cy="5942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19050</xdr:colOff>
      <xdr:row>7</xdr:row>
      <xdr:rowOff>95250</xdr:rowOff>
    </xdr:from>
    <xdr:to>
      <xdr:col>28</xdr:col>
      <xdr:colOff>9525</xdr:colOff>
      <xdr:row>7</xdr:row>
      <xdr:rowOff>104775</xdr:rowOff>
    </xdr:to>
    <xdr:sp macro="" textlink="">
      <xdr:nvSpPr>
        <xdr:cNvPr id="174" name="Line 24">
          <a:extLst>
            <a:ext uri="{FF2B5EF4-FFF2-40B4-BE49-F238E27FC236}">
              <a16:creationId xmlns:a16="http://schemas.microsoft.com/office/drawing/2014/main" id="{00000000-0008-0000-0300-0000AE000000}"/>
            </a:ext>
          </a:extLst>
        </xdr:cNvPr>
        <xdr:cNvSpPr>
          <a:spLocks noChangeShapeType="1"/>
        </xdr:cNvSpPr>
      </xdr:nvSpPr>
      <xdr:spPr bwMode="auto">
        <a:xfrm flipV="1">
          <a:off x="16916400" y="1752600"/>
          <a:ext cx="98107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317256</xdr:colOff>
      <xdr:row>13</xdr:row>
      <xdr:rowOff>40298</xdr:rowOff>
    </xdr:from>
    <xdr:to>
      <xdr:col>16</xdr:col>
      <xdr:colOff>317256</xdr:colOff>
      <xdr:row>14</xdr:row>
      <xdr:rowOff>183173</xdr:rowOff>
    </xdr:to>
    <xdr:sp macro="" textlink="">
      <xdr:nvSpPr>
        <xdr:cNvPr id="175" name="Line 25">
          <a:extLst>
            <a:ext uri="{FF2B5EF4-FFF2-40B4-BE49-F238E27FC236}">
              <a16:creationId xmlns:a16="http://schemas.microsoft.com/office/drawing/2014/main" id="{00000000-0008-0000-0300-0000AF000000}"/>
            </a:ext>
          </a:extLst>
        </xdr:cNvPr>
        <xdr:cNvSpPr>
          <a:spLocks noChangeShapeType="1"/>
        </xdr:cNvSpPr>
      </xdr:nvSpPr>
      <xdr:spPr bwMode="auto">
        <a:xfrm>
          <a:off x="12267468" y="2648683"/>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304798</xdr:colOff>
      <xdr:row>8</xdr:row>
      <xdr:rowOff>190499</xdr:rowOff>
    </xdr:from>
    <xdr:to>
      <xdr:col>16</xdr:col>
      <xdr:colOff>307729</xdr:colOff>
      <xdr:row>10</xdr:row>
      <xdr:rowOff>168519</xdr:rowOff>
    </xdr:to>
    <xdr:sp macro="" textlink="">
      <xdr:nvSpPr>
        <xdr:cNvPr id="176" name="Line 27">
          <a:extLst>
            <a:ext uri="{FF2B5EF4-FFF2-40B4-BE49-F238E27FC236}">
              <a16:creationId xmlns:a16="http://schemas.microsoft.com/office/drawing/2014/main" id="{00000000-0008-0000-0300-0000B0000000}"/>
            </a:ext>
          </a:extLst>
        </xdr:cNvPr>
        <xdr:cNvSpPr>
          <a:spLocks noChangeShapeType="1"/>
        </xdr:cNvSpPr>
      </xdr:nvSpPr>
      <xdr:spPr bwMode="auto">
        <a:xfrm flipH="1" flipV="1">
          <a:off x="12255010" y="2036884"/>
          <a:ext cx="2931" cy="3590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20730</xdr:rowOff>
    </xdr:from>
    <xdr:to>
      <xdr:col>18</xdr:col>
      <xdr:colOff>14007</xdr:colOff>
      <xdr:row>42</xdr:row>
      <xdr:rowOff>20730</xdr:rowOff>
    </xdr:to>
    <xdr:sp macro="" textlink="">
      <xdr:nvSpPr>
        <xdr:cNvPr id="177" name="Rectangle 28">
          <a:extLst>
            <a:ext uri="{FF2B5EF4-FFF2-40B4-BE49-F238E27FC236}">
              <a16:creationId xmlns:a16="http://schemas.microsoft.com/office/drawing/2014/main" id="{00000000-0008-0000-0300-0000B1000000}"/>
            </a:ext>
          </a:extLst>
        </xdr:cNvPr>
        <xdr:cNvSpPr>
          <a:spLocks noChangeArrowheads="1"/>
        </xdr:cNvSpPr>
      </xdr:nvSpPr>
      <xdr:spPr bwMode="auto">
        <a:xfrm>
          <a:off x="12450536" y="3014301"/>
          <a:ext cx="503864" cy="457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27</xdr:col>
      <xdr:colOff>117794</xdr:colOff>
      <xdr:row>14</xdr:row>
      <xdr:rowOff>185056</xdr:rowOff>
    </xdr:from>
    <xdr:to>
      <xdr:col>27</xdr:col>
      <xdr:colOff>122463</xdr:colOff>
      <xdr:row>15</xdr:row>
      <xdr:rowOff>182130</xdr:rowOff>
    </xdr:to>
    <xdr:sp macro="" textlink="">
      <xdr:nvSpPr>
        <xdr:cNvPr id="178" name="Line 6">
          <a:extLst>
            <a:ext uri="{FF2B5EF4-FFF2-40B4-BE49-F238E27FC236}">
              <a16:creationId xmlns:a16="http://schemas.microsoft.com/office/drawing/2014/main" id="{00000000-0008-0000-0300-0000B2000000}"/>
            </a:ext>
          </a:extLst>
        </xdr:cNvPr>
        <xdr:cNvSpPr>
          <a:spLocks noChangeShapeType="1"/>
        </xdr:cNvSpPr>
      </xdr:nvSpPr>
      <xdr:spPr bwMode="auto">
        <a:xfrm flipV="1">
          <a:off x="17409751" y="2988127"/>
          <a:ext cx="4669" cy="1875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119743</xdr:colOff>
      <xdr:row>15</xdr:row>
      <xdr:rowOff>185059</xdr:rowOff>
    </xdr:from>
    <xdr:to>
      <xdr:col>27</xdr:col>
      <xdr:colOff>120213</xdr:colOff>
      <xdr:row>16</xdr:row>
      <xdr:rowOff>189877</xdr:rowOff>
    </xdr:to>
    <xdr:sp macro="" textlink="">
      <xdr:nvSpPr>
        <xdr:cNvPr id="179" name="Line 7">
          <a:extLst>
            <a:ext uri="{FF2B5EF4-FFF2-40B4-BE49-F238E27FC236}">
              <a16:creationId xmlns:a16="http://schemas.microsoft.com/office/drawing/2014/main" id="{00000000-0008-0000-0300-0000B3000000}"/>
            </a:ext>
          </a:extLst>
        </xdr:cNvPr>
        <xdr:cNvSpPr>
          <a:spLocks noChangeShapeType="1"/>
        </xdr:cNvSpPr>
      </xdr:nvSpPr>
      <xdr:spPr bwMode="auto">
        <a:xfrm>
          <a:off x="17411700" y="3178630"/>
          <a:ext cx="470" cy="195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89450</xdr:colOff>
      <xdr:row>15</xdr:row>
      <xdr:rowOff>19049</xdr:rowOff>
    </xdr:from>
    <xdr:to>
      <xdr:col>18</xdr:col>
      <xdr:colOff>89451</xdr:colOff>
      <xdr:row>20</xdr:row>
      <xdr:rowOff>152399</xdr:rowOff>
    </xdr:to>
    <xdr:sp macro="" textlink="">
      <xdr:nvSpPr>
        <xdr:cNvPr id="180" name="Line 7">
          <a:extLst>
            <a:ext uri="{FF2B5EF4-FFF2-40B4-BE49-F238E27FC236}">
              <a16:creationId xmlns:a16="http://schemas.microsoft.com/office/drawing/2014/main" id="{00000000-0008-0000-0300-0000B4000000}"/>
            </a:ext>
          </a:extLst>
        </xdr:cNvPr>
        <xdr:cNvSpPr>
          <a:spLocks noChangeShapeType="1"/>
        </xdr:cNvSpPr>
      </xdr:nvSpPr>
      <xdr:spPr bwMode="auto">
        <a:xfrm flipH="1" flipV="1">
          <a:off x="12935776" y="3009071"/>
          <a:ext cx="1"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302459</xdr:colOff>
      <xdr:row>11</xdr:row>
      <xdr:rowOff>30646</xdr:rowOff>
    </xdr:from>
    <xdr:to>
      <xdr:col>28</xdr:col>
      <xdr:colOff>307127</xdr:colOff>
      <xdr:row>14</xdr:row>
      <xdr:rowOff>175648</xdr:rowOff>
    </xdr:to>
    <xdr:sp macro="" textlink="">
      <xdr:nvSpPr>
        <xdr:cNvPr id="181" name="Line 19">
          <a:extLst>
            <a:ext uri="{FF2B5EF4-FFF2-40B4-BE49-F238E27FC236}">
              <a16:creationId xmlns:a16="http://schemas.microsoft.com/office/drawing/2014/main" id="{00000000-0008-0000-0300-0000B5000000}"/>
            </a:ext>
          </a:extLst>
        </xdr:cNvPr>
        <xdr:cNvSpPr>
          <a:spLocks noChangeShapeType="1"/>
        </xdr:cNvSpPr>
      </xdr:nvSpPr>
      <xdr:spPr bwMode="auto">
        <a:xfrm flipH="1">
          <a:off x="26227777" y="13798601"/>
          <a:ext cx="4668" cy="71650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149717</xdr:colOff>
      <xdr:row>11</xdr:row>
      <xdr:rowOff>25676</xdr:rowOff>
    </xdr:from>
    <xdr:to>
      <xdr:col>28</xdr:col>
      <xdr:colOff>151073</xdr:colOff>
      <xdr:row>11</xdr:row>
      <xdr:rowOff>157427</xdr:rowOff>
    </xdr:to>
    <xdr:sp macro="" textlink="">
      <xdr:nvSpPr>
        <xdr:cNvPr id="182" name="Line 19">
          <a:extLst>
            <a:ext uri="{FF2B5EF4-FFF2-40B4-BE49-F238E27FC236}">
              <a16:creationId xmlns:a16="http://schemas.microsoft.com/office/drawing/2014/main" id="{00000000-0008-0000-0300-0000B6000000}"/>
            </a:ext>
          </a:extLst>
        </xdr:cNvPr>
        <xdr:cNvSpPr>
          <a:spLocks noChangeShapeType="1"/>
        </xdr:cNvSpPr>
      </xdr:nvSpPr>
      <xdr:spPr bwMode="auto">
        <a:xfrm flipH="1">
          <a:off x="26075035" y="13793631"/>
          <a:ext cx="1356" cy="1317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177247</xdr:colOff>
      <xdr:row>18</xdr:row>
      <xdr:rowOff>11593</xdr:rowOff>
    </xdr:from>
    <xdr:to>
      <xdr:col>26</xdr:col>
      <xdr:colOff>256760</xdr:colOff>
      <xdr:row>27</xdr:row>
      <xdr:rowOff>41412</xdr:rowOff>
    </xdr:to>
    <xdr:sp macro="" textlink="">
      <xdr:nvSpPr>
        <xdr:cNvPr id="183" name="Line 11">
          <a:extLst>
            <a:ext uri="{FF2B5EF4-FFF2-40B4-BE49-F238E27FC236}">
              <a16:creationId xmlns:a16="http://schemas.microsoft.com/office/drawing/2014/main" id="{00000000-0008-0000-0300-0000B7000000}"/>
            </a:ext>
          </a:extLst>
        </xdr:cNvPr>
        <xdr:cNvSpPr>
          <a:spLocks noChangeShapeType="1"/>
        </xdr:cNvSpPr>
      </xdr:nvSpPr>
      <xdr:spPr bwMode="auto">
        <a:xfrm flipH="1" flipV="1">
          <a:off x="16999225" y="3573115"/>
          <a:ext cx="79513" cy="17443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11593</xdr:colOff>
      <xdr:row>27</xdr:row>
      <xdr:rowOff>33130</xdr:rowOff>
    </xdr:from>
    <xdr:to>
      <xdr:col>26</xdr:col>
      <xdr:colOff>157369</xdr:colOff>
      <xdr:row>28</xdr:row>
      <xdr:rowOff>135834</xdr:rowOff>
    </xdr:to>
    <xdr:sp macro="" textlink="">
      <xdr:nvSpPr>
        <xdr:cNvPr id="184" name="Line 9">
          <a:extLst>
            <a:ext uri="{FF2B5EF4-FFF2-40B4-BE49-F238E27FC236}">
              <a16:creationId xmlns:a16="http://schemas.microsoft.com/office/drawing/2014/main" id="{00000000-0008-0000-0300-0000B8000000}"/>
            </a:ext>
          </a:extLst>
        </xdr:cNvPr>
        <xdr:cNvSpPr>
          <a:spLocks noChangeShapeType="1"/>
        </xdr:cNvSpPr>
      </xdr:nvSpPr>
      <xdr:spPr bwMode="auto">
        <a:xfrm flipH="1">
          <a:off x="14348789" y="5309152"/>
          <a:ext cx="2630558" cy="2932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219487</xdr:colOff>
      <xdr:row>17</xdr:row>
      <xdr:rowOff>13607</xdr:rowOff>
    </xdr:from>
    <xdr:to>
      <xdr:col>27</xdr:col>
      <xdr:colOff>231321</xdr:colOff>
      <xdr:row>27</xdr:row>
      <xdr:rowOff>37862</xdr:rowOff>
    </xdr:to>
    <xdr:sp macro="" textlink="">
      <xdr:nvSpPr>
        <xdr:cNvPr id="185" name="Line 11">
          <a:extLst>
            <a:ext uri="{FF2B5EF4-FFF2-40B4-BE49-F238E27FC236}">
              <a16:creationId xmlns:a16="http://schemas.microsoft.com/office/drawing/2014/main" id="{00000000-0008-0000-0300-0000B9000000}"/>
            </a:ext>
          </a:extLst>
        </xdr:cNvPr>
        <xdr:cNvSpPr>
          <a:spLocks noChangeShapeType="1"/>
        </xdr:cNvSpPr>
      </xdr:nvSpPr>
      <xdr:spPr bwMode="auto">
        <a:xfrm flipV="1">
          <a:off x="17078737" y="3388178"/>
          <a:ext cx="501691" cy="19292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217713</xdr:colOff>
      <xdr:row>17</xdr:row>
      <xdr:rowOff>36634</xdr:rowOff>
    </xdr:from>
    <xdr:to>
      <xdr:col>23</xdr:col>
      <xdr:colOff>342270</xdr:colOff>
      <xdr:row>17</xdr:row>
      <xdr:rowOff>40821</xdr:rowOff>
    </xdr:to>
    <xdr:sp macro="" textlink="">
      <xdr:nvSpPr>
        <xdr:cNvPr id="188" name="Line 3">
          <a:extLst>
            <a:ext uri="{FF2B5EF4-FFF2-40B4-BE49-F238E27FC236}">
              <a16:creationId xmlns:a16="http://schemas.microsoft.com/office/drawing/2014/main" id="{00000000-0008-0000-0300-0000BC000000}"/>
            </a:ext>
          </a:extLst>
        </xdr:cNvPr>
        <xdr:cNvSpPr>
          <a:spLocks noChangeShapeType="1"/>
        </xdr:cNvSpPr>
      </xdr:nvSpPr>
      <xdr:spPr bwMode="auto">
        <a:xfrm flipV="1">
          <a:off x="14137820" y="3411205"/>
          <a:ext cx="1594129" cy="4187"/>
        </a:xfrm>
        <a:prstGeom prst="line">
          <a:avLst/>
        </a:prstGeom>
        <a:noFill/>
        <a:ln w="28575">
          <a:solidFill>
            <a:schemeClr val="accent1">
              <a:lumMod val="75000"/>
            </a:schemeClr>
          </a:solidFill>
          <a:round/>
          <a:headEnd type="stealth" w="lg" len="lg"/>
          <a:tailEnd type="none" w="sm" len="sm"/>
        </a:ln>
        <a:extLst>
          <a:ext uri="{909E8E84-426E-40DD-AFC4-6F175D3DCCD1}">
            <a14:hiddenFill xmlns:a14="http://schemas.microsoft.com/office/drawing/2010/main">
              <a:noFill/>
            </a14:hiddenFill>
          </a:ext>
        </a:extLst>
      </xdr:spPr>
    </xdr:sp>
    <xdr:clientData/>
  </xdr:twoCellAnchor>
  <xdr:oneCellAnchor>
    <xdr:from>
      <xdr:col>20</xdr:col>
      <xdr:colOff>258536</xdr:colOff>
      <xdr:row>17</xdr:row>
      <xdr:rowOff>68037</xdr:rowOff>
    </xdr:from>
    <xdr:ext cx="1799210"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4178643" y="3442608"/>
          <a:ext cx="179921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0">
              <a:solidFill>
                <a:srgbClr val="0070C0"/>
              </a:solidFill>
            </a:rPr>
            <a:t>groundwater flow direction</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30</xdr:row>
          <xdr:rowOff>144780</xdr:rowOff>
        </xdr:from>
        <xdr:to>
          <xdr:col>5</xdr:col>
          <xdr:colOff>182880</xdr:colOff>
          <xdr:row>36</xdr:row>
          <xdr:rowOff>7620</xdr:rowOff>
        </xdr:to>
        <xdr:sp macro="" textlink="">
          <xdr:nvSpPr>
            <xdr:cNvPr id="7178" name="CommandButton1"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266699</xdr:colOff>
      <xdr:row>3</xdr:row>
      <xdr:rowOff>114299</xdr:rowOff>
    </xdr:from>
    <xdr:to>
      <xdr:col>9</xdr:col>
      <xdr:colOff>419099</xdr:colOff>
      <xdr:row>24</xdr:row>
      <xdr:rowOff>114299</xdr:rowOff>
    </xdr:to>
    <xdr:graphicFrame macro="">
      <xdr:nvGraphicFramePr>
        <xdr:cNvPr id="5327" name="Chart 1">
          <a:extLst>
            <a:ext uri="{FF2B5EF4-FFF2-40B4-BE49-F238E27FC236}">
              <a16:creationId xmlns:a16="http://schemas.microsoft.com/office/drawing/2014/main" id="{00000000-0008-0000-0800-0000CF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252204</xdr:colOff>
      <xdr:row>26</xdr:row>
      <xdr:rowOff>96700</xdr:rowOff>
    </xdr:from>
    <xdr:to>
      <xdr:col>9</xdr:col>
      <xdr:colOff>404604</xdr:colOff>
      <xdr:row>47</xdr:row>
      <xdr:rowOff>96699</xdr:rowOff>
    </xdr:to>
    <xdr:graphicFrame macro="">
      <xdr:nvGraphicFramePr>
        <xdr:cNvPr id="5328" name="Chart 2">
          <a:extLst>
            <a:ext uri="{FF2B5EF4-FFF2-40B4-BE49-F238E27FC236}">
              <a16:creationId xmlns:a16="http://schemas.microsoft.com/office/drawing/2014/main" id="{00000000-0008-0000-0800-0000D0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242888</xdr:colOff>
      <xdr:row>49</xdr:row>
      <xdr:rowOff>138112</xdr:rowOff>
    </xdr:from>
    <xdr:to>
      <xdr:col>9</xdr:col>
      <xdr:colOff>395288</xdr:colOff>
      <xdr:row>70</xdr:row>
      <xdr:rowOff>138113</xdr:rowOff>
    </xdr:to>
    <xdr:graphicFrame macro="">
      <xdr:nvGraphicFramePr>
        <xdr:cNvPr id="5329" name="Chart 3">
          <a:extLst>
            <a:ext uri="{FF2B5EF4-FFF2-40B4-BE49-F238E27FC236}">
              <a16:creationId xmlns:a16="http://schemas.microsoft.com/office/drawing/2014/main" id="{00000000-0008-0000-0800-0000D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266700</xdr:colOff>
      <xdr:row>72</xdr:row>
      <xdr:rowOff>66676</xdr:rowOff>
    </xdr:from>
    <xdr:to>
      <xdr:col>9</xdr:col>
      <xdr:colOff>419100</xdr:colOff>
      <xdr:row>93</xdr:row>
      <xdr:rowOff>66675</xdr:rowOff>
    </xdr:to>
    <xdr:graphicFrame macro="">
      <xdr:nvGraphicFramePr>
        <xdr:cNvPr id="5330" name="Chart 4">
          <a:extLst>
            <a:ext uri="{FF2B5EF4-FFF2-40B4-BE49-F238E27FC236}">
              <a16:creationId xmlns:a16="http://schemas.microsoft.com/office/drawing/2014/main" id="{00000000-0008-0000-0800-0000D2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233361</xdr:colOff>
      <xdr:row>95</xdr:row>
      <xdr:rowOff>4763</xdr:rowOff>
    </xdr:from>
    <xdr:to>
      <xdr:col>9</xdr:col>
      <xdr:colOff>385761</xdr:colOff>
      <xdr:row>116</xdr:row>
      <xdr:rowOff>4764</xdr:rowOff>
    </xdr:to>
    <xdr:graphicFrame macro="">
      <xdr:nvGraphicFramePr>
        <xdr:cNvPr id="5331" name="Chart 5">
          <a:extLst>
            <a:ext uri="{FF2B5EF4-FFF2-40B4-BE49-F238E27FC236}">
              <a16:creationId xmlns:a16="http://schemas.microsoft.com/office/drawing/2014/main" id="{00000000-0008-0000-0800-0000D3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3</xdr:row>
      <xdr:rowOff>119062</xdr:rowOff>
    </xdr:from>
    <xdr:to>
      <xdr:col>10</xdr:col>
      <xdr:colOff>390525</xdr:colOff>
      <xdr:row>24</xdr:row>
      <xdr:rowOff>119062</xdr:rowOff>
    </xdr:to>
    <xdr:graphicFrame macro="">
      <xdr:nvGraphicFramePr>
        <xdr:cNvPr id="6350" name="Chart 1">
          <a:extLst>
            <a:ext uri="{FF2B5EF4-FFF2-40B4-BE49-F238E27FC236}">
              <a16:creationId xmlns:a16="http://schemas.microsoft.com/office/drawing/2014/main" id="{00000000-0008-0000-0B00-0000CE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328611</xdr:colOff>
      <xdr:row>26</xdr:row>
      <xdr:rowOff>61913</xdr:rowOff>
    </xdr:from>
    <xdr:to>
      <xdr:col>10</xdr:col>
      <xdr:colOff>385761</xdr:colOff>
      <xdr:row>47</xdr:row>
      <xdr:rowOff>61912</xdr:rowOff>
    </xdr:to>
    <xdr:graphicFrame macro="">
      <xdr:nvGraphicFramePr>
        <xdr:cNvPr id="6351" name="Chart 2">
          <a:extLst>
            <a:ext uri="{FF2B5EF4-FFF2-40B4-BE49-F238E27FC236}">
              <a16:creationId xmlns:a16="http://schemas.microsoft.com/office/drawing/2014/main" id="{00000000-0008-0000-0B00-0000CF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347662</xdr:colOff>
      <xdr:row>48</xdr:row>
      <xdr:rowOff>90488</xdr:rowOff>
    </xdr:from>
    <xdr:to>
      <xdr:col>10</xdr:col>
      <xdr:colOff>404812</xdr:colOff>
      <xdr:row>69</xdr:row>
      <xdr:rowOff>90488</xdr:rowOff>
    </xdr:to>
    <xdr:graphicFrame macro="">
      <xdr:nvGraphicFramePr>
        <xdr:cNvPr id="6352" name="Chart 3">
          <a:extLst>
            <a:ext uri="{FF2B5EF4-FFF2-40B4-BE49-F238E27FC236}">
              <a16:creationId xmlns:a16="http://schemas.microsoft.com/office/drawing/2014/main" id="{00000000-0008-0000-0B00-0000D0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333374</xdr:colOff>
      <xdr:row>70</xdr:row>
      <xdr:rowOff>90488</xdr:rowOff>
    </xdr:from>
    <xdr:to>
      <xdr:col>10</xdr:col>
      <xdr:colOff>390524</xdr:colOff>
      <xdr:row>91</xdr:row>
      <xdr:rowOff>90487</xdr:rowOff>
    </xdr:to>
    <xdr:graphicFrame macro="">
      <xdr:nvGraphicFramePr>
        <xdr:cNvPr id="6353" name="Chart 4">
          <a:extLst>
            <a:ext uri="{FF2B5EF4-FFF2-40B4-BE49-F238E27FC236}">
              <a16:creationId xmlns:a16="http://schemas.microsoft.com/office/drawing/2014/main" id="{00000000-0008-0000-0B00-0000D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333374</xdr:colOff>
      <xdr:row>92</xdr:row>
      <xdr:rowOff>142876</xdr:rowOff>
    </xdr:from>
    <xdr:to>
      <xdr:col>10</xdr:col>
      <xdr:colOff>390524</xdr:colOff>
      <xdr:row>113</xdr:row>
      <xdr:rowOff>142875</xdr:rowOff>
    </xdr:to>
    <xdr:graphicFrame macro="">
      <xdr:nvGraphicFramePr>
        <xdr:cNvPr id="6354" name="Chart 5">
          <a:extLst>
            <a:ext uri="{FF2B5EF4-FFF2-40B4-BE49-F238E27FC236}">
              <a16:creationId xmlns:a16="http://schemas.microsoft.com/office/drawing/2014/main" id="{00000000-0008-0000-0B00-0000D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pa.gov/opptintr/exposure/pubs/episuite.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43"/>
  <sheetViews>
    <sheetView tabSelected="1" view="pageBreakPreview" zoomScale="130" zoomScaleNormal="100" zoomScaleSheetLayoutView="130" workbookViewId="0"/>
  </sheetViews>
  <sheetFormatPr defaultColWidth="9.21875" defaultRowHeight="13.2" x14ac:dyDescent="0.25"/>
  <cols>
    <col min="1" max="1" width="14.77734375" style="340" customWidth="1"/>
    <col min="2" max="2" width="105.21875" style="340" customWidth="1"/>
    <col min="3" max="16384" width="9.21875" style="340"/>
  </cols>
  <sheetData>
    <row r="1" spans="1:14" x14ac:dyDescent="0.25">
      <c r="A1" s="235">
        <v>44153</v>
      </c>
      <c r="B1" s="459"/>
    </row>
    <row r="2" spans="1:14" ht="21" x14ac:dyDescent="0.25">
      <c r="B2" s="455" t="s">
        <v>179</v>
      </c>
    </row>
    <row r="4" spans="1:14" ht="57.6" x14ac:dyDescent="0.25">
      <c r="B4" s="456" t="s">
        <v>524</v>
      </c>
    </row>
    <row r="6" spans="1:14" ht="14.4" x14ac:dyDescent="0.25">
      <c r="B6" s="457" t="s">
        <v>503</v>
      </c>
    </row>
    <row r="8" spans="1:14" ht="28.8" x14ac:dyDescent="0.25">
      <c r="B8" s="457" t="s">
        <v>525</v>
      </c>
    </row>
    <row r="10" spans="1:14" ht="115.2" x14ac:dyDescent="0.25">
      <c r="B10" s="457" t="s">
        <v>586</v>
      </c>
    </row>
    <row r="11" spans="1:14" x14ac:dyDescent="0.25">
      <c r="A11" s="460"/>
      <c r="B11" s="461"/>
    </row>
    <row r="12" spans="1:14" ht="43.2" x14ac:dyDescent="0.25">
      <c r="A12" s="462"/>
      <c r="B12" s="457" t="s">
        <v>509</v>
      </c>
      <c r="N12" s="341"/>
    </row>
    <row r="13" spans="1:14" ht="14.4" x14ac:dyDescent="0.3">
      <c r="A13" s="462"/>
      <c r="B13" s="463"/>
      <c r="E13" s="336"/>
      <c r="F13" s="336"/>
    </row>
    <row r="14" spans="1:14" ht="144" x14ac:dyDescent="0.25">
      <c r="A14" s="462"/>
      <c r="B14" s="457" t="s">
        <v>526</v>
      </c>
    </row>
    <row r="15" spans="1:14" x14ac:dyDescent="0.25">
      <c r="A15" s="462"/>
      <c r="B15" s="464"/>
      <c r="C15" s="464"/>
      <c r="D15" s="464"/>
      <c r="E15" s="464"/>
    </row>
    <row r="16" spans="1:14" ht="28.8" x14ac:dyDescent="0.25">
      <c r="A16" s="462"/>
      <c r="B16" s="457" t="s">
        <v>527</v>
      </c>
      <c r="C16" s="464"/>
      <c r="D16" s="464"/>
      <c r="E16" s="464"/>
    </row>
    <row r="17" spans="1:6" ht="14.4" x14ac:dyDescent="0.3">
      <c r="A17" s="462"/>
      <c r="B17" s="465"/>
      <c r="E17" s="336"/>
      <c r="F17" s="336"/>
    </row>
    <row r="19" spans="1:6" ht="21" x14ac:dyDescent="0.25">
      <c r="B19" s="455" t="s">
        <v>0</v>
      </c>
    </row>
    <row r="20" spans="1:6" ht="14.4" x14ac:dyDescent="0.25">
      <c r="B20" s="457"/>
    </row>
    <row r="21" spans="1:6" ht="14.4" x14ac:dyDescent="0.25">
      <c r="B21" s="457" t="s">
        <v>511</v>
      </c>
    </row>
    <row r="22" spans="1:6" ht="6" customHeight="1" x14ac:dyDescent="0.25">
      <c r="B22" s="457"/>
    </row>
    <row r="23" spans="1:6" ht="86.4" x14ac:dyDescent="0.25">
      <c r="B23" s="456" t="s">
        <v>528</v>
      </c>
    </row>
    <row r="24" spans="1:6" ht="6" customHeight="1" x14ac:dyDescent="0.25">
      <c r="B24" s="456"/>
    </row>
    <row r="25" spans="1:6" ht="43.2" x14ac:dyDescent="0.25">
      <c r="B25" s="456" t="s">
        <v>512</v>
      </c>
    </row>
    <row r="26" spans="1:6" ht="14.4" x14ac:dyDescent="0.25">
      <c r="B26" s="456"/>
    </row>
    <row r="27" spans="1:6" ht="28.8" x14ac:dyDescent="0.25">
      <c r="B27" s="457" t="s">
        <v>529</v>
      </c>
    </row>
    <row r="28" spans="1:6" ht="14.4" x14ac:dyDescent="0.25">
      <c r="B28" s="457"/>
    </row>
    <row r="29" spans="1:6" ht="43.2" x14ac:dyDescent="0.25">
      <c r="B29" s="457" t="s">
        <v>513</v>
      </c>
    </row>
    <row r="30" spans="1:6" ht="6" customHeight="1" x14ac:dyDescent="0.25">
      <c r="B30" s="457"/>
    </row>
    <row r="31" spans="1:6" ht="43.2" x14ac:dyDescent="0.25">
      <c r="B31" s="456" t="s">
        <v>514</v>
      </c>
    </row>
    <row r="32" spans="1:6" ht="14.4" x14ac:dyDescent="0.25">
      <c r="B32" s="456"/>
    </row>
    <row r="33" spans="2:2" ht="57.6" x14ac:dyDescent="0.25">
      <c r="B33" s="457" t="s">
        <v>530</v>
      </c>
    </row>
    <row r="34" spans="2:2" ht="6" customHeight="1" x14ac:dyDescent="0.25">
      <c r="B34" s="457"/>
    </row>
    <row r="35" spans="2:2" ht="72" x14ac:dyDescent="0.25">
      <c r="B35" s="456" t="s">
        <v>531</v>
      </c>
    </row>
    <row r="36" spans="2:2" x14ac:dyDescent="0.25">
      <c r="B36" s="466"/>
    </row>
    <row r="37" spans="2:2" ht="28.8" x14ac:dyDescent="0.25">
      <c r="B37" s="457" t="s">
        <v>532</v>
      </c>
    </row>
    <row r="38" spans="2:2" ht="6" customHeight="1" x14ac:dyDescent="0.25">
      <c r="B38" s="457"/>
    </row>
    <row r="39" spans="2:2" ht="43.2" x14ac:dyDescent="0.25">
      <c r="B39" s="456" t="s">
        <v>515</v>
      </c>
    </row>
    <row r="40" spans="2:2" ht="6" customHeight="1" x14ac:dyDescent="0.25">
      <c r="B40" s="457"/>
    </row>
    <row r="41" spans="2:2" ht="28.8" x14ac:dyDescent="0.25">
      <c r="B41" s="456" t="s">
        <v>533</v>
      </c>
    </row>
    <row r="42" spans="2:2" x14ac:dyDescent="0.25">
      <c r="B42" s="466"/>
    </row>
    <row r="43" spans="2:2" ht="57.6" x14ac:dyDescent="0.25">
      <c r="B43" s="457" t="s">
        <v>534</v>
      </c>
    </row>
    <row r="44" spans="2:2" ht="6" customHeight="1" x14ac:dyDescent="0.25">
      <c r="B44" s="457"/>
    </row>
    <row r="45" spans="2:2" ht="43.2" x14ac:dyDescent="0.25">
      <c r="B45" s="456" t="s">
        <v>535</v>
      </c>
    </row>
    <row r="46" spans="2:2" ht="14.4" x14ac:dyDescent="0.25">
      <c r="B46" s="457"/>
    </row>
    <row r="47" spans="2:2" ht="44.25" customHeight="1" x14ac:dyDescent="0.25">
      <c r="B47" s="457" t="s">
        <v>536</v>
      </c>
    </row>
    <row r="48" spans="2:2" ht="6" customHeight="1" x14ac:dyDescent="0.25">
      <c r="B48" s="457"/>
    </row>
    <row r="49" spans="2:7" ht="14.4" x14ac:dyDescent="0.25">
      <c r="B49" s="458" t="s">
        <v>537</v>
      </c>
    </row>
    <row r="50" spans="2:7" ht="6" customHeight="1" x14ac:dyDescent="0.25">
      <c r="B50" s="457"/>
    </row>
    <row r="51" spans="2:7" ht="28.8" x14ac:dyDescent="0.25">
      <c r="B51" s="458" t="s">
        <v>538</v>
      </c>
    </row>
    <row r="52" spans="2:7" ht="6" customHeight="1" x14ac:dyDescent="0.25">
      <c r="B52" s="457"/>
    </row>
    <row r="53" spans="2:7" ht="28.8" x14ac:dyDescent="0.25">
      <c r="B53" s="458" t="s">
        <v>539</v>
      </c>
    </row>
    <row r="54" spans="2:7" ht="6" customHeight="1" x14ac:dyDescent="0.25">
      <c r="B54" s="457"/>
    </row>
    <row r="55" spans="2:7" ht="14.4" x14ac:dyDescent="0.25">
      <c r="B55" s="456" t="s">
        <v>540</v>
      </c>
    </row>
    <row r="56" spans="2:7" ht="14.4" x14ac:dyDescent="0.25">
      <c r="B56" s="457"/>
    </row>
    <row r="57" spans="2:7" ht="43.2" x14ac:dyDescent="0.25">
      <c r="B57" s="457" t="s">
        <v>541</v>
      </c>
    </row>
    <row r="58" spans="2:7" ht="14.4" x14ac:dyDescent="0.25">
      <c r="B58" s="456"/>
    </row>
    <row r="59" spans="2:7" x14ac:dyDescent="0.25">
      <c r="B59" s="466"/>
    </row>
    <row r="60" spans="2:7" ht="21" x14ac:dyDescent="0.25">
      <c r="B60" s="455" t="s">
        <v>542</v>
      </c>
    </row>
    <row r="61" spans="2:7" x14ac:dyDescent="0.25">
      <c r="B61" s="466"/>
    </row>
    <row r="62" spans="2:7" ht="14.4" x14ac:dyDescent="0.25">
      <c r="B62" s="457" t="s">
        <v>543</v>
      </c>
    </row>
    <row r="63" spans="2:7" ht="6" customHeight="1" x14ac:dyDescent="0.25">
      <c r="B63" s="457"/>
      <c r="G63" s="341"/>
    </row>
    <row r="64" spans="2:7" ht="115.2" x14ac:dyDescent="0.25">
      <c r="B64" s="456" t="s">
        <v>544</v>
      </c>
    </row>
    <row r="65" spans="2:2" ht="6" customHeight="1" x14ac:dyDescent="0.25">
      <c r="B65" s="457"/>
    </row>
    <row r="66" spans="2:2" ht="43.2" x14ac:dyDescent="0.25">
      <c r="B66" s="456" t="s">
        <v>545</v>
      </c>
    </row>
    <row r="67" spans="2:2" ht="14.4" x14ac:dyDescent="0.25">
      <c r="B67" s="456"/>
    </row>
    <row r="68" spans="2:2" ht="28.8" x14ac:dyDescent="0.25">
      <c r="B68" s="457" t="s">
        <v>546</v>
      </c>
    </row>
    <row r="69" spans="2:2" ht="14.4" x14ac:dyDescent="0.25">
      <c r="B69" s="456"/>
    </row>
    <row r="70" spans="2:2" ht="28.8" x14ac:dyDescent="0.25">
      <c r="B70" s="457" t="s">
        <v>547</v>
      </c>
    </row>
    <row r="71" spans="2:2" ht="14.4" x14ac:dyDescent="0.25">
      <c r="B71" s="456"/>
    </row>
    <row r="72" spans="2:2" ht="57.6" x14ac:dyDescent="0.25">
      <c r="B72" s="457" t="s">
        <v>548</v>
      </c>
    </row>
    <row r="73" spans="2:2" ht="14.4" x14ac:dyDescent="0.25">
      <c r="B73" s="456"/>
    </row>
    <row r="74" spans="2:2" ht="28.8" x14ac:dyDescent="0.25">
      <c r="B74" s="457" t="s">
        <v>549</v>
      </c>
    </row>
    <row r="75" spans="2:2" ht="6" customHeight="1" x14ac:dyDescent="0.25">
      <c r="B75" s="457"/>
    </row>
    <row r="76" spans="2:2" ht="43.2" x14ac:dyDescent="0.25">
      <c r="B76" s="456" t="s">
        <v>550</v>
      </c>
    </row>
    <row r="77" spans="2:2" ht="14.4" x14ac:dyDescent="0.25">
      <c r="B77" s="456"/>
    </row>
    <row r="78" spans="2:2" ht="57.6" x14ac:dyDescent="0.25">
      <c r="B78" s="457" t="s">
        <v>551</v>
      </c>
    </row>
    <row r="79" spans="2:2" ht="6" customHeight="1" x14ac:dyDescent="0.25">
      <c r="B79" s="457"/>
    </row>
    <row r="80" spans="2:2" ht="28.8" x14ac:dyDescent="0.25">
      <c r="B80" s="456" t="s">
        <v>552</v>
      </c>
    </row>
    <row r="81" spans="2:2" ht="6" customHeight="1" x14ac:dyDescent="0.25">
      <c r="B81" s="457"/>
    </row>
    <row r="82" spans="2:2" ht="14.4" x14ac:dyDescent="0.25">
      <c r="B82" s="456" t="s">
        <v>540</v>
      </c>
    </row>
    <row r="83" spans="2:2" ht="14.4" x14ac:dyDescent="0.25">
      <c r="B83" s="456"/>
    </row>
    <row r="84" spans="2:2" ht="43.2" x14ac:dyDescent="0.25">
      <c r="B84" s="457" t="s">
        <v>578</v>
      </c>
    </row>
    <row r="85" spans="2:2" ht="6" customHeight="1" x14ac:dyDescent="0.25">
      <c r="B85" s="457"/>
    </row>
    <row r="86" spans="2:2" ht="28.8" x14ac:dyDescent="0.25">
      <c r="B86" s="456" t="s">
        <v>553</v>
      </c>
    </row>
    <row r="87" spans="2:2" ht="14.4" x14ac:dyDescent="0.25">
      <c r="B87" s="456"/>
    </row>
    <row r="88" spans="2:2" ht="14.4" x14ac:dyDescent="0.25">
      <c r="B88" s="456"/>
    </row>
    <row r="89" spans="2:2" ht="21" x14ac:dyDescent="0.25">
      <c r="B89" s="455" t="s">
        <v>510</v>
      </c>
    </row>
    <row r="90" spans="2:2" ht="14.4" x14ac:dyDescent="0.25">
      <c r="B90" s="456"/>
    </row>
    <row r="91" spans="2:2" ht="14.4" x14ac:dyDescent="0.25">
      <c r="B91" s="456" t="s">
        <v>554</v>
      </c>
    </row>
    <row r="92" spans="2:2" ht="6" customHeight="1" x14ac:dyDescent="0.25">
      <c r="B92" s="456"/>
    </row>
    <row r="93" spans="2:2" ht="14.4" x14ac:dyDescent="0.25">
      <c r="B93" s="456" t="s">
        <v>555</v>
      </c>
    </row>
    <row r="94" spans="2:2" ht="6" customHeight="1" x14ac:dyDescent="0.25">
      <c r="B94" s="456"/>
    </row>
    <row r="95" spans="2:2" ht="14.4" x14ac:dyDescent="0.25">
      <c r="B95" s="456" t="s">
        <v>556</v>
      </c>
    </row>
    <row r="96" spans="2:2" ht="14.4" x14ac:dyDescent="0.25">
      <c r="B96" s="456"/>
    </row>
    <row r="97" spans="2:2" ht="14.4" x14ac:dyDescent="0.25">
      <c r="B97" s="456"/>
    </row>
    <row r="98" spans="2:2" ht="14.4" x14ac:dyDescent="0.25">
      <c r="B98" s="456"/>
    </row>
    <row r="99" spans="2:2" ht="14.4" x14ac:dyDescent="0.25">
      <c r="B99" s="456"/>
    </row>
    <row r="100" spans="2:2" ht="14.4" x14ac:dyDescent="0.25">
      <c r="B100" s="456"/>
    </row>
    <row r="101" spans="2:2" ht="14.4" x14ac:dyDescent="0.25">
      <c r="B101" s="456"/>
    </row>
    <row r="102" spans="2:2" ht="14.4" x14ac:dyDescent="0.25">
      <c r="B102" s="456"/>
    </row>
    <row r="103" spans="2:2" ht="14.4" x14ac:dyDescent="0.25">
      <c r="B103" s="456"/>
    </row>
    <row r="104" spans="2:2" ht="14.4" x14ac:dyDescent="0.25">
      <c r="B104" s="456"/>
    </row>
    <row r="105" spans="2:2" ht="15.6" x14ac:dyDescent="0.3">
      <c r="B105" s="467"/>
    </row>
    <row r="106" spans="2:2" ht="15.6" x14ac:dyDescent="0.3">
      <c r="B106" s="467"/>
    </row>
    <row r="107" spans="2:2" ht="15.6" x14ac:dyDescent="0.3">
      <c r="B107" s="467"/>
    </row>
    <row r="108" spans="2:2" ht="15.6" x14ac:dyDescent="0.3">
      <c r="B108" s="467"/>
    </row>
    <row r="109" spans="2:2" ht="15.6" x14ac:dyDescent="0.3">
      <c r="B109" s="467"/>
    </row>
    <row r="110" spans="2:2" ht="15.6" x14ac:dyDescent="0.3">
      <c r="B110" s="467"/>
    </row>
    <row r="111" spans="2:2" ht="15.6" x14ac:dyDescent="0.3">
      <c r="B111" s="234"/>
    </row>
    <row r="112" spans="2:2" ht="15.6" x14ac:dyDescent="0.3">
      <c r="B112" s="467"/>
    </row>
    <row r="113" spans="2:8" ht="15.6" x14ac:dyDescent="0.3">
      <c r="B113" s="234"/>
    </row>
    <row r="114" spans="2:8" ht="15.6" x14ac:dyDescent="0.3">
      <c r="B114" s="234"/>
    </row>
    <row r="115" spans="2:8" ht="15.6" x14ac:dyDescent="0.3">
      <c r="B115" s="234"/>
    </row>
    <row r="116" spans="2:8" ht="15.6" x14ac:dyDescent="0.3">
      <c r="B116" s="234"/>
    </row>
    <row r="117" spans="2:8" ht="15.6" x14ac:dyDescent="0.3">
      <c r="B117" s="234"/>
    </row>
    <row r="118" spans="2:8" ht="15.6" x14ac:dyDescent="0.3">
      <c r="B118" s="234"/>
    </row>
    <row r="119" spans="2:8" ht="15.6" x14ac:dyDescent="0.3">
      <c r="B119" s="234"/>
    </row>
    <row r="120" spans="2:8" ht="15.6" x14ac:dyDescent="0.3">
      <c r="B120" s="467"/>
    </row>
    <row r="121" spans="2:8" ht="15.6" x14ac:dyDescent="0.3">
      <c r="B121" s="468"/>
    </row>
    <row r="122" spans="2:8" ht="15.6" x14ac:dyDescent="0.3">
      <c r="B122" s="234"/>
      <c r="C122" s="234"/>
      <c r="D122" s="234"/>
      <c r="E122" s="234"/>
    </row>
    <row r="123" spans="2:8" ht="15.6" x14ac:dyDescent="0.3">
      <c r="B123" s="234"/>
    </row>
    <row r="124" spans="2:8" ht="15.6" x14ac:dyDescent="0.3">
      <c r="C124" s="234"/>
      <c r="D124" s="234"/>
      <c r="E124" s="234"/>
      <c r="F124" s="234"/>
      <c r="G124" s="234"/>
      <c r="H124" s="234"/>
    </row>
    <row r="125" spans="2:8" ht="15.6" x14ac:dyDescent="0.3">
      <c r="B125" s="234"/>
    </row>
    <row r="126" spans="2:8" ht="15.6" x14ac:dyDescent="0.3">
      <c r="B126" s="234"/>
      <c r="C126" s="234"/>
      <c r="D126" s="234"/>
      <c r="E126" s="234"/>
      <c r="F126" s="234"/>
      <c r="G126" s="234"/>
      <c r="H126" s="234"/>
    </row>
    <row r="127" spans="2:8" ht="15.6" x14ac:dyDescent="0.3">
      <c r="B127" s="234"/>
    </row>
    <row r="128" spans="2:8" ht="15.6" x14ac:dyDescent="0.3">
      <c r="C128" s="234"/>
      <c r="D128" s="234"/>
      <c r="E128" s="234"/>
    </row>
    <row r="129" spans="2:10" ht="15.6" x14ac:dyDescent="0.3">
      <c r="B129" s="234"/>
    </row>
    <row r="130" spans="2:10" ht="15.6" x14ac:dyDescent="0.3">
      <c r="B130" s="234"/>
      <c r="C130" s="234"/>
      <c r="D130" s="234"/>
      <c r="E130" s="234"/>
      <c r="F130" s="234"/>
      <c r="G130" s="234"/>
      <c r="H130" s="234"/>
      <c r="I130" s="234"/>
      <c r="J130" s="234"/>
    </row>
    <row r="131" spans="2:10" ht="15.6" x14ac:dyDescent="0.3">
      <c r="B131" s="234"/>
    </row>
    <row r="132" spans="2:10" ht="15.6" x14ac:dyDescent="0.3">
      <c r="B132" s="469"/>
      <c r="C132" s="469"/>
    </row>
    <row r="133" spans="2:10" ht="15.6" x14ac:dyDescent="0.3">
      <c r="B133" s="234"/>
    </row>
    <row r="134" spans="2:10" ht="15.6" x14ac:dyDescent="0.3">
      <c r="C134" s="234"/>
      <c r="D134" s="234"/>
      <c r="E134" s="234"/>
      <c r="F134" s="234"/>
      <c r="G134" s="234"/>
      <c r="H134" s="234"/>
      <c r="I134" s="234"/>
    </row>
    <row r="135" spans="2:10" ht="15.6" x14ac:dyDescent="0.3">
      <c r="B135" s="234"/>
    </row>
    <row r="136" spans="2:10" ht="15.6" x14ac:dyDescent="0.3">
      <c r="B136" s="234"/>
      <c r="C136" s="234"/>
      <c r="D136" s="234"/>
      <c r="E136" s="234"/>
      <c r="F136" s="234"/>
      <c r="G136" s="234"/>
    </row>
    <row r="137" spans="2:10" ht="15.6" x14ac:dyDescent="0.3">
      <c r="B137" s="234"/>
    </row>
    <row r="138" spans="2:10" ht="15.6" x14ac:dyDescent="0.3">
      <c r="B138" s="234"/>
      <c r="C138" s="234"/>
      <c r="D138" s="234"/>
      <c r="E138" s="234"/>
    </row>
    <row r="139" spans="2:10" ht="15.6" x14ac:dyDescent="0.3">
      <c r="B139" s="234"/>
    </row>
    <row r="140" spans="2:10" ht="15.6" x14ac:dyDescent="0.3">
      <c r="B140" s="234"/>
      <c r="C140" s="234"/>
      <c r="D140" s="234"/>
      <c r="E140" s="234"/>
      <c r="F140" s="234"/>
      <c r="G140" s="234"/>
      <c r="H140" s="234"/>
      <c r="I140" s="470"/>
      <c r="J140" s="234"/>
    </row>
    <row r="141" spans="2:10" ht="15.6" x14ac:dyDescent="0.3">
      <c r="B141" s="234"/>
    </row>
    <row r="142" spans="2:10" ht="15.6" x14ac:dyDescent="0.3">
      <c r="B142" s="234"/>
    </row>
    <row r="143" spans="2:10" ht="15.6" x14ac:dyDescent="0.3">
      <c r="B143" s="234"/>
    </row>
    <row r="144" spans="2:10" ht="15.6" x14ac:dyDescent="0.3">
      <c r="B144" s="234"/>
    </row>
    <row r="145" spans="2:8" ht="15.6" x14ac:dyDescent="0.3">
      <c r="B145" s="234"/>
    </row>
    <row r="146" spans="2:8" ht="15.6" x14ac:dyDescent="0.3">
      <c r="B146" s="234"/>
    </row>
    <row r="147" spans="2:8" ht="15.6" x14ac:dyDescent="0.3">
      <c r="B147" s="234"/>
    </row>
    <row r="148" spans="2:8" ht="15.6" x14ac:dyDescent="0.3">
      <c r="B148" s="234"/>
      <c r="C148" s="234"/>
      <c r="D148" s="234"/>
      <c r="E148" s="234"/>
      <c r="F148" s="234"/>
      <c r="G148" s="234"/>
      <c r="H148" s="234"/>
    </row>
    <row r="149" spans="2:8" ht="15.6" x14ac:dyDescent="0.3">
      <c r="B149" s="234"/>
    </row>
    <row r="150" spans="2:8" ht="15.6" x14ac:dyDescent="0.3">
      <c r="B150" s="469"/>
    </row>
    <row r="151" spans="2:8" ht="15.6" x14ac:dyDescent="0.3">
      <c r="B151" s="234"/>
    </row>
    <row r="152" spans="2:8" ht="15.6" x14ac:dyDescent="0.3">
      <c r="C152" s="234"/>
      <c r="D152" s="234"/>
      <c r="E152" s="234"/>
      <c r="F152" s="234"/>
      <c r="G152" s="234"/>
    </row>
    <row r="153" spans="2:8" ht="15.6" x14ac:dyDescent="0.3">
      <c r="B153" s="234"/>
    </row>
    <row r="154" spans="2:8" ht="15.6" x14ac:dyDescent="0.3">
      <c r="B154" s="234"/>
      <c r="C154" s="234"/>
      <c r="D154" s="234"/>
      <c r="E154" s="234"/>
      <c r="F154" s="234"/>
    </row>
    <row r="155" spans="2:8" ht="15.6" x14ac:dyDescent="0.3">
      <c r="B155" s="234"/>
    </row>
    <row r="156" spans="2:8" ht="15.6" x14ac:dyDescent="0.3">
      <c r="B156" s="234"/>
    </row>
    <row r="157" spans="2:8" ht="15.6" x14ac:dyDescent="0.3">
      <c r="C157" s="467"/>
    </row>
    <row r="158" spans="2:8" ht="15.6" x14ac:dyDescent="0.3">
      <c r="B158" s="467"/>
    </row>
    <row r="159" spans="2:8" ht="15.6" x14ac:dyDescent="0.3">
      <c r="B159" s="234"/>
    </row>
    <row r="160" spans="2:8" ht="15.6" x14ac:dyDescent="0.3">
      <c r="B160" s="234"/>
    </row>
    <row r="161" spans="2:15" ht="15.6" x14ac:dyDescent="0.3">
      <c r="B161" s="234"/>
    </row>
    <row r="162" spans="2:15" ht="15.6" x14ac:dyDescent="0.3">
      <c r="B162" s="234"/>
    </row>
    <row r="163" spans="2:15" ht="15.6" x14ac:dyDescent="0.3">
      <c r="B163" s="234"/>
    </row>
    <row r="164" spans="2:15" ht="15.6" x14ac:dyDescent="0.3">
      <c r="B164" s="234"/>
    </row>
    <row r="165" spans="2:15" ht="15.6" x14ac:dyDescent="0.3">
      <c r="B165" s="234"/>
    </row>
    <row r="166" spans="2:15" ht="15.6" x14ac:dyDescent="0.3">
      <c r="B166" s="467"/>
    </row>
    <row r="167" spans="2:15" ht="15.6" x14ac:dyDescent="0.3">
      <c r="B167" s="234"/>
    </row>
    <row r="168" spans="2:15" ht="15.6" x14ac:dyDescent="0.3">
      <c r="B168" s="234"/>
    </row>
    <row r="169" spans="2:15" ht="15.6" x14ac:dyDescent="0.3">
      <c r="B169" s="234"/>
    </row>
    <row r="170" spans="2:15" ht="15.6" x14ac:dyDescent="0.3">
      <c r="B170" s="234"/>
    </row>
    <row r="171" spans="2:15" ht="15.6" x14ac:dyDescent="0.3">
      <c r="B171" s="234"/>
    </row>
    <row r="172" spans="2:15" ht="15.6" x14ac:dyDescent="0.3">
      <c r="B172" s="234"/>
    </row>
    <row r="173" spans="2:15" ht="15.6" x14ac:dyDescent="0.3">
      <c r="B173" s="234"/>
    </row>
    <row r="174" spans="2:15" ht="15.6" x14ac:dyDescent="0.3">
      <c r="B174" s="467"/>
    </row>
    <row r="175" spans="2:15" ht="15.6" x14ac:dyDescent="0.3">
      <c r="B175" s="234"/>
      <c r="C175" s="493"/>
      <c r="D175" s="493"/>
      <c r="E175" s="493"/>
      <c r="F175" s="493"/>
      <c r="G175" s="493"/>
      <c r="H175" s="493"/>
      <c r="I175" s="493"/>
      <c r="J175" s="493"/>
      <c r="K175" s="493"/>
      <c r="L175" s="493"/>
      <c r="M175" s="493"/>
      <c r="N175" s="493"/>
      <c r="O175" s="493"/>
    </row>
    <row r="176" spans="2:15" ht="15.6" x14ac:dyDescent="0.3">
      <c r="B176" s="234"/>
      <c r="C176" s="493"/>
      <c r="D176" s="493"/>
      <c r="E176" s="493"/>
      <c r="F176" s="493"/>
      <c r="G176" s="493"/>
      <c r="H176" s="493"/>
      <c r="I176" s="493"/>
      <c r="J176" s="493"/>
      <c r="K176" s="493"/>
      <c r="L176" s="493"/>
      <c r="M176" s="493"/>
      <c r="N176" s="493"/>
      <c r="O176" s="493"/>
    </row>
    <row r="177" spans="2:15" ht="15.6" x14ac:dyDescent="0.3">
      <c r="B177" s="234"/>
      <c r="C177" s="493"/>
      <c r="D177" s="493"/>
      <c r="E177" s="493"/>
      <c r="F177" s="493"/>
      <c r="G177" s="493"/>
      <c r="H177" s="493"/>
      <c r="I177" s="493"/>
      <c r="J177" s="493"/>
      <c r="K177" s="493"/>
      <c r="L177" s="493"/>
      <c r="M177" s="493"/>
      <c r="N177" s="493"/>
      <c r="O177" s="493"/>
    </row>
    <row r="178" spans="2:15" ht="15.6" x14ac:dyDescent="0.3">
      <c r="B178" s="468"/>
      <c r="C178" s="493"/>
      <c r="D178" s="493"/>
      <c r="E178" s="493"/>
      <c r="F178" s="493"/>
      <c r="G178" s="493"/>
      <c r="H178" s="493"/>
      <c r="I178" s="493"/>
      <c r="J178" s="493"/>
      <c r="K178" s="493"/>
      <c r="L178" s="493"/>
      <c r="M178" s="493"/>
      <c r="N178" s="493"/>
      <c r="O178" s="493"/>
    </row>
    <row r="179" spans="2:15" ht="15.6" x14ac:dyDescent="0.3">
      <c r="B179" s="234"/>
      <c r="C179" s="493"/>
      <c r="D179" s="493"/>
      <c r="E179" s="493"/>
      <c r="F179" s="493"/>
      <c r="G179" s="493"/>
      <c r="H179" s="493"/>
      <c r="I179" s="493"/>
      <c r="J179" s="493"/>
      <c r="K179" s="493"/>
      <c r="L179" s="493"/>
      <c r="M179" s="493"/>
      <c r="N179" s="493"/>
      <c r="O179" s="493"/>
    </row>
    <row r="180" spans="2:15" ht="15.6" x14ac:dyDescent="0.3">
      <c r="B180" s="234"/>
      <c r="C180" s="493"/>
      <c r="D180" s="493"/>
      <c r="E180" s="493"/>
      <c r="F180" s="493"/>
      <c r="G180" s="493"/>
      <c r="H180" s="493"/>
      <c r="I180" s="493"/>
      <c r="J180" s="493"/>
      <c r="K180" s="493"/>
      <c r="L180" s="493"/>
      <c r="M180" s="493"/>
      <c r="N180" s="493"/>
      <c r="O180" s="493"/>
    </row>
    <row r="181" spans="2:15" ht="15.6" x14ac:dyDescent="0.3">
      <c r="B181" s="468"/>
      <c r="C181" s="493"/>
      <c r="D181" s="493"/>
      <c r="E181" s="493"/>
      <c r="F181" s="493"/>
      <c r="G181" s="493"/>
      <c r="H181" s="493"/>
      <c r="I181" s="493"/>
      <c r="J181" s="493"/>
      <c r="K181" s="493"/>
      <c r="L181" s="493"/>
      <c r="M181" s="493"/>
      <c r="N181" s="493"/>
      <c r="O181" s="493"/>
    </row>
    <row r="182" spans="2:15" ht="15.6" x14ac:dyDescent="0.3">
      <c r="B182" s="234"/>
      <c r="C182" s="493"/>
      <c r="D182" s="493"/>
      <c r="E182" s="493"/>
      <c r="F182" s="493"/>
      <c r="G182" s="493"/>
      <c r="H182" s="493"/>
      <c r="I182" s="493"/>
      <c r="J182" s="493"/>
      <c r="K182" s="493"/>
      <c r="L182" s="493"/>
      <c r="M182" s="493"/>
      <c r="N182" s="493"/>
      <c r="O182" s="493"/>
    </row>
    <row r="183" spans="2:15" ht="15.6" x14ac:dyDescent="0.3">
      <c r="B183" s="234"/>
      <c r="C183" s="493"/>
      <c r="D183" s="493"/>
      <c r="E183" s="493"/>
      <c r="F183" s="493"/>
      <c r="G183" s="493"/>
      <c r="H183" s="493"/>
      <c r="I183" s="493"/>
      <c r="J183" s="493"/>
      <c r="K183" s="493"/>
      <c r="L183" s="493"/>
      <c r="M183" s="493"/>
      <c r="N183" s="493"/>
      <c r="O183" s="493"/>
    </row>
    <row r="184" spans="2:15" ht="15.6" x14ac:dyDescent="0.3">
      <c r="B184" s="468"/>
      <c r="C184" s="493"/>
      <c r="D184" s="493"/>
      <c r="E184" s="493"/>
      <c r="F184" s="493"/>
      <c r="G184" s="493"/>
      <c r="H184" s="493"/>
      <c r="I184" s="493"/>
      <c r="J184" s="493"/>
      <c r="K184" s="493"/>
      <c r="L184" s="493"/>
      <c r="M184" s="493"/>
      <c r="N184" s="493"/>
      <c r="O184" s="493"/>
    </row>
    <row r="185" spans="2:15" ht="15.6" x14ac:dyDescent="0.3">
      <c r="B185" s="234"/>
      <c r="C185" s="493"/>
      <c r="D185" s="493"/>
      <c r="E185" s="493"/>
      <c r="F185" s="493"/>
      <c r="G185" s="493"/>
      <c r="H185" s="493"/>
      <c r="I185" s="493"/>
      <c r="J185" s="493"/>
      <c r="K185" s="493"/>
      <c r="L185" s="493"/>
      <c r="M185" s="493"/>
      <c r="N185" s="493"/>
      <c r="O185" s="493"/>
    </row>
    <row r="186" spans="2:15" ht="15.6" x14ac:dyDescent="0.3">
      <c r="B186" s="234"/>
    </row>
    <row r="187" spans="2:15" ht="15.6" x14ac:dyDescent="0.3">
      <c r="B187" s="468"/>
    </row>
    <row r="188" spans="2:15" ht="15.6" x14ac:dyDescent="0.3">
      <c r="B188" s="471"/>
    </row>
    <row r="189" spans="2:15" ht="15.6" x14ac:dyDescent="0.3">
      <c r="B189" s="234"/>
    </row>
    <row r="190" spans="2:15" ht="15.6" x14ac:dyDescent="0.3">
      <c r="B190" s="468"/>
    </row>
    <row r="191" spans="2:15" ht="15.6" x14ac:dyDescent="0.3">
      <c r="B191" s="234"/>
    </row>
    <row r="192" spans="2:15" ht="15.6" x14ac:dyDescent="0.3">
      <c r="B192" s="234"/>
    </row>
    <row r="193" spans="2:2" ht="15.6" x14ac:dyDescent="0.3">
      <c r="B193" s="234"/>
    </row>
    <row r="194" spans="2:2" ht="15.6" x14ac:dyDescent="0.3">
      <c r="B194" s="234"/>
    </row>
    <row r="195" spans="2:2" ht="15.6" x14ac:dyDescent="0.3">
      <c r="B195" s="468"/>
    </row>
    <row r="196" spans="2:2" ht="15.6" x14ac:dyDescent="0.3">
      <c r="B196" s="234"/>
    </row>
    <row r="197" spans="2:2" ht="15.6" x14ac:dyDescent="0.3">
      <c r="B197" s="234"/>
    </row>
    <row r="198" spans="2:2" ht="15.6" x14ac:dyDescent="0.3">
      <c r="B198" s="234"/>
    </row>
    <row r="199" spans="2:2" ht="15.6" x14ac:dyDescent="0.3">
      <c r="B199" s="468"/>
    </row>
    <row r="200" spans="2:2" ht="15.6" x14ac:dyDescent="0.3">
      <c r="B200" s="234"/>
    </row>
    <row r="201" spans="2:2" ht="15.6" x14ac:dyDescent="0.3">
      <c r="B201" s="234"/>
    </row>
    <row r="202" spans="2:2" ht="15.6" x14ac:dyDescent="0.3">
      <c r="B202" s="468"/>
    </row>
    <row r="203" spans="2:2" ht="15.6" x14ac:dyDescent="0.3">
      <c r="B203" s="234"/>
    </row>
    <row r="204" spans="2:2" ht="15.6" x14ac:dyDescent="0.3">
      <c r="B204" s="234"/>
    </row>
    <row r="205" spans="2:2" ht="15.6" x14ac:dyDescent="0.3">
      <c r="B205" s="468"/>
    </row>
    <row r="206" spans="2:2" ht="15.6" x14ac:dyDescent="0.3">
      <c r="B206" s="234"/>
    </row>
    <row r="207" spans="2:2" ht="15.6" x14ac:dyDescent="0.3">
      <c r="B207" s="234"/>
    </row>
    <row r="208" spans="2:2" ht="15.6" x14ac:dyDescent="0.3">
      <c r="B208" s="468"/>
    </row>
    <row r="209" spans="2:2" ht="15.6" x14ac:dyDescent="0.3">
      <c r="B209" s="234"/>
    </row>
    <row r="210" spans="2:2" ht="15.6" x14ac:dyDescent="0.3">
      <c r="B210" s="468"/>
    </row>
    <row r="211" spans="2:2" ht="15.6" x14ac:dyDescent="0.3">
      <c r="B211" s="468"/>
    </row>
    <row r="212" spans="2:2" ht="15.6" x14ac:dyDescent="0.3">
      <c r="B212" s="234"/>
    </row>
    <row r="213" spans="2:2" ht="15.6" x14ac:dyDescent="0.3">
      <c r="B213" s="234"/>
    </row>
    <row r="214" spans="2:2" ht="15.6" x14ac:dyDescent="0.3">
      <c r="B214" s="234"/>
    </row>
    <row r="215" spans="2:2" ht="15.6" x14ac:dyDescent="0.3">
      <c r="B215" s="234"/>
    </row>
    <row r="216" spans="2:2" ht="15.6" x14ac:dyDescent="0.3">
      <c r="B216" s="467"/>
    </row>
    <row r="217" spans="2:2" ht="15.6" x14ac:dyDescent="0.3">
      <c r="B217" s="234"/>
    </row>
    <row r="218" spans="2:2" ht="15.6" x14ac:dyDescent="0.3">
      <c r="B218" s="470"/>
    </row>
    <row r="219" spans="2:2" ht="15.6" x14ac:dyDescent="0.3">
      <c r="B219" s="234"/>
    </row>
    <row r="220" spans="2:2" ht="15.6" x14ac:dyDescent="0.3">
      <c r="B220" s="234"/>
    </row>
    <row r="221" spans="2:2" ht="15.6" x14ac:dyDescent="0.3">
      <c r="B221" s="470"/>
    </row>
    <row r="222" spans="2:2" ht="15.6" x14ac:dyDescent="0.3">
      <c r="B222" s="234"/>
    </row>
    <row r="223" spans="2:2" ht="15.6" x14ac:dyDescent="0.3">
      <c r="B223" s="234"/>
    </row>
    <row r="224" spans="2:2" ht="15.6" x14ac:dyDescent="0.3">
      <c r="B224" s="234"/>
    </row>
    <row r="225" spans="2:2" ht="15.6" x14ac:dyDescent="0.3">
      <c r="B225" s="234"/>
    </row>
    <row r="226" spans="2:2" ht="15.6" x14ac:dyDescent="0.3">
      <c r="B226" s="470"/>
    </row>
    <row r="227" spans="2:2" ht="15.6" x14ac:dyDescent="0.3">
      <c r="B227" s="234"/>
    </row>
    <row r="228" spans="2:2" ht="15.6" x14ac:dyDescent="0.3">
      <c r="B228" s="234"/>
    </row>
    <row r="229" spans="2:2" ht="15.6" x14ac:dyDescent="0.3">
      <c r="B229" s="470"/>
    </row>
    <row r="230" spans="2:2" ht="15.6" x14ac:dyDescent="0.3">
      <c r="B230" s="234"/>
    </row>
    <row r="231" spans="2:2" ht="15.6" x14ac:dyDescent="0.3">
      <c r="B231" s="234"/>
    </row>
    <row r="232" spans="2:2" ht="15.6" x14ac:dyDescent="0.3">
      <c r="B232" s="234"/>
    </row>
    <row r="233" spans="2:2" ht="15.6" x14ac:dyDescent="0.3">
      <c r="B233" s="234"/>
    </row>
    <row r="234" spans="2:2" ht="15.6" x14ac:dyDescent="0.3">
      <c r="B234" s="234"/>
    </row>
    <row r="235" spans="2:2" ht="15.6" x14ac:dyDescent="0.3">
      <c r="B235" s="234"/>
    </row>
    <row r="236" spans="2:2" ht="15.6" x14ac:dyDescent="0.3">
      <c r="B236" s="234"/>
    </row>
    <row r="237" spans="2:2" ht="15.6" x14ac:dyDescent="0.3">
      <c r="B237" s="234"/>
    </row>
    <row r="238" spans="2:2" ht="15.6" x14ac:dyDescent="0.3">
      <c r="B238" s="234"/>
    </row>
    <row r="239" spans="2:2" ht="15.6" x14ac:dyDescent="0.3">
      <c r="B239" s="234"/>
    </row>
    <row r="240" spans="2:2" ht="15.6" x14ac:dyDescent="0.3">
      <c r="B240" s="234"/>
    </row>
    <row r="241" spans="2:2" ht="15.6" x14ac:dyDescent="0.3">
      <c r="B241" s="234"/>
    </row>
    <row r="243" spans="2:2" ht="15.6" x14ac:dyDescent="0.3">
      <c r="B243" s="234"/>
    </row>
  </sheetData>
  <sheetProtection password="FD77" sheet="1" objects="1" scenarios="1"/>
  <mergeCells count="13">
    <mergeCell ref="H175:H185"/>
    <mergeCell ref="I175:I185"/>
    <mergeCell ref="J175:J185"/>
    <mergeCell ref="C175:C185"/>
    <mergeCell ref="D175:D185"/>
    <mergeCell ref="E175:E185"/>
    <mergeCell ref="F175:F185"/>
    <mergeCell ref="G175:G185"/>
    <mergeCell ref="O175:O185"/>
    <mergeCell ref="K175:K185"/>
    <mergeCell ref="L175:L185"/>
    <mergeCell ref="M175:M185"/>
    <mergeCell ref="N175:N185"/>
  </mergeCells>
  <phoneticPr fontId="15" type="noConversion"/>
  <pageMargins left="0.75" right="0.75" top="1" bottom="1" header="0.5" footer="0.5"/>
  <pageSetup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N245"/>
  <sheetViews>
    <sheetView view="pageBreakPreview" zoomScaleNormal="85" zoomScaleSheetLayoutView="100" workbookViewId="0">
      <selection activeCell="F29" sqref="F29"/>
    </sheetView>
  </sheetViews>
  <sheetFormatPr defaultColWidth="9.21875" defaultRowHeight="13.2" x14ac:dyDescent="0.25"/>
  <cols>
    <col min="1" max="11" width="12.77734375" style="1" customWidth="1"/>
    <col min="12" max="12" width="68.77734375" style="1" customWidth="1"/>
    <col min="13" max="17" width="12.77734375" style="1" customWidth="1"/>
    <col min="18" max="16384" width="9.21875" style="1"/>
  </cols>
  <sheetData>
    <row r="1" spans="1:14" x14ac:dyDescent="0.25">
      <c r="A1" s="8">
        <v>39600</v>
      </c>
      <c r="C1" s="8"/>
    </row>
    <row r="2" spans="1:14" x14ac:dyDescent="0.25">
      <c r="C2" s="12" t="s">
        <v>162</v>
      </c>
      <c r="G2" s="172" t="s">
        <v>163</v>
      </c>
    </row>
    <row r="6" spans="1:14" x14ac:dyDescent="0.25">
      <c r="F6" s="10"/>
    </row>
    <row r="7" spans="1:14" x14ac:dyDescent="0.25">
      <c r="B7" s="1" t="s">
        <v>445</v>
      </c>
      <c r="F7" s="1">
        <f>'Alt-GPL Calc for VOCs'!I27</f>
        <v>30.5</v>
      </c>
      <c r="L7" s="33"/>
      <c r="M7" s="167"/>
      <c r="N7" s="170"/>
    </row>
    <row r="8" spans="1:14" x14ac:dyDescent="0.25">
      <c r="L8" s="33"/>
      <c r="M8" s="167"/>
      <c r="N8" s="164"/>
    </row>
    <row r="9" spans="1:14" x14ac:dyDescent="0.25">
      <c r="B9" s="32" t="s">
        <v>446</v>
      </c>
      <c r="F9" s="1">
        <f>'Alt-GPL Calc for VOCs'!I29</f>
        <v>8.1999999999999993</v>
      </c>
      <c r="L9" s="33"/>
      <c r="M9" s="167"/>
      <c r="N9" s="164"/>
    </row>
    <row r="10" spans="1:14" x14ac:dyDescent="0.25">
      <c r="L10" s="33"/>
      <c r="M10" s="167"/>
      <c r="N10" s="164"/>
    </row>
    <row r="11" spans="1:14" x14ac:dyDescent="0.25">
      <c r="B11" s="32" t="s">
        <v>447</v>
      </c>
      <c r="F11" s="1">
        <f>'Alt-GPL Calc for VOCs'!I10</f>
        <v>1</v>
      </c>
      <c r="L11" s="130"/>
      <c r="M11" s="167"/>
      <c r="N11" s="164"/>
    </row>
    <row r="12" spans="1:14" x14ac:dyDescent="0.25">
      <c r="L12" s="130"/>
      <c r="M12" s="167"/>
      <c r="N12" s="158"/>
    </row>
    <row r="13" spans="1:14" x14ac:dyDescent="0.25">
      <c r="B13" s="32" t="s">
        <v>448</v>
      </c>
      <c r="F13" s="1">
        <f>'Alt-GPL Calc for VOCs'!I12</f>
        <v>100000</v>
      </c>
      <c r="L13" s="130"/>
      <c r="M13" s="167"/>
      <c r="N13" s="158"/>
    </row>
    <row r="14" spans="1:14" x14ac:dyDescent="0.25">
      <c r="L14" s="33"/>
      <c r="M14" s="167"/>
      <c r="N14" s="164"/>
    </row>
    <row r="15" spans="1:14" x14ac:dyDescent="0.25">
      <c r="B15" s="32" t="s">
        <v>482</v>
      </c>
      <c r="F15" s="1">
        <f>'Alt-GPL Calc for VOCs'!I30</f>
        <v>10</v>
      </c>
      <c r="L15" s="33"/>
      <c r="M15" s="167"/>
      <c r="N15" s="164"/>
    </row>
    <row r="16" spans="1:14" x14ac:dyDescent="0.25">
      <c r="L16" s="33"/>
      <c r="M16" s="167"/>
      <c r="N16" s="164"/>
    </row>
    <row r="17" spans="2:14" x14ac:dyDescent="0.25">
      <c r="B17" s="1" t="s">
        <v>116</v>
      </c>
      <c r="F17" s="1">
        <f>'Alt-GPL Calc for VOCs'!I24</f>
        <v>7.0000000000000001E-3</v>
      </c>
      <c r="L17" s="130"/>
      <c r="M17" s="167"/>
      <c r="N17" s="164"/>
    </row>
    <row r="18" spans="2:14" x14ac:dyDescent="0.25">
      <c r="B18" s="1" t="s">
        <v>102</v>
      </c>
      <c r="L18" s="33"/>
      <c r="M18" s="167"/>
      <c r="N18" s="164"/>
    </row>
    <row r="19" spans="2:14" x14ac:dyDescent="0.25">
      <c r="L19" s="33"/>
      <c r="M19" s="167"/>
      <c r="N19" s="164"/>
    </row>
    <row r="20" spans="2:14" x14ac:dyDescent="0.25">
      <c r="B20" s="1" t="s">
        <v>117</v>
      </c>
      <c r="F20" s="1">
        <f>'Alt-GPL Calc for VOCs'!I31</f>
        <v>7.0000000000000001E-3</v>
      </c>
      <c r="L20" s="33"/>
      <c r="M20" s="167"/>
      <c r="N20" s="164"/>
    </row>
    <row r="21" spans="2:14" x14ac:dyDescent="0.25">
      <c r="B21" s="1" t="s">
        <v>103</v>
      </c>
      <c r="L21" s="33"/>
      <c r="M21" s="167"/>
      <c r="N21" s="164"/>
    </row>
    <row r="22" spans="2:14" x14ac:dyDescent="0.25">
      <c r="L22" s="130"/>
      <c r="M22" s="167"/>
      <c r="N22" s="164"/>
    </row>
    <row r="23" spans="2:14" x14ac:dyDescent="0.25">
      <c r="B23" s="32" t="s">
        <v>118</v>
      </c>
      <c r="F23" s="1">
        <f>'Alt-GPL Calc for VOCs'!I28</f>
        <v>10</v>
      </c>
      <c r="L23" s="130"/>
      <c r="M23" s="167"/>
      <c r="N23" s="164"/>
    </row>
    <row r="24" spans="2:14" x14ac:dyDescent="0.25">
      <c r="L24" s="33"/>
      <c r="M24" s="167"/>
      <c r="N24" s="164"/>
    </row>
    <row r="25" spans="2:14" x14ac:dyDescent="0.25">
      <c r="B25" s="32" t="s">
        <v>452</v>
      </c>
      <c r="F25" s="1">
        <f>'Alt-GPL Calc for VOCs'!I16</f>
        <v>0.5</v>
      </c>
      <c r="L25" s="130"/>
      <c r="M25" s="168"/>
      <c r="N25" s="164"/>
    </row>
    <row r="26" spans="2:14" x14ac:dyDescent="0.25">
      <c r="L26" s="33"/>
      <c r="M26" s="167"/>
      <c r="N26" s="164"/>
    </row>
    <row r="27" spans="2:14" x14ac:dyDescent="0.25">
      <c r="B27" s="32" t="s">
        <v>451</v>
      </c>
      <c r="F27" s="1">
        <f>'Alt-GPL Calc for VOCs'!I18</f>
        <v>0.45</v>
      </c>
      <c r="L27" s="33"/>
      <c r="M27" s="167"/>
      <c r="N27" s="164"/>
    </row>
    <row r="28" spans="2:14" x14ac:dyDescent="0.25">
      <c r="L28" s="33"/>
      <c r="M28" s="167"/>
      <c r="N28" s="164"/>
    </row>
    <row r="29" spans="2:14" x14ac:dyDescent="0.25">
      <c r="B29" s="95" t="s">
        <v>455</v>
      </c>
      <c r="C29" s="95"/>
      <c r="D29" s="95"/>
      <c r="E29" s="95"/>
      <c r="F29" s="95">
        <f>'Alt-GPL Calc for VOCs'!I20</f>
        <v>1E-3</v>
      </c>
      <c r="L29" s="33"/>
      <c r="M29" s="167"/>
      <c r="N29" s="164"/>
    </row>
    <row r="30" spans="2:14" x14ac:dyDescent="0.25">
      <c r="B30" s="95"/>
      <c r="C30" s="95"/>
      <c r="D30" s="95"/>
      <c r="E30" s="95"/>
      <c r="F30" s="95"/>
      <c r="L30" s="171"/>
      <c r="M30" s="169"/>
      <c r="N30" s="164"/>
    </row>
    <row r="31" spans="2:14" x14ac:dyDescent="0.25">
      <c r="B31" s="95" t="s">
        <v>454</v>
      </c>
      <c r="C31" s="95"/>
      <c r="D31" s="95"/>
      <c r="E31" s="95"/>
      <c r="F31" s="95">
        <f>'Alt-GPL Calc for VOCs'!$I$9</f>
        <v>1</v>
      </c>
      <c r="L31" s="33"/>
      <c r="M31" s="169"/>
      <c r="N31" s="164"/>
    </row>
    <row r="32" spans="2:14" x14ac:dyDescent="0.25">
      <c r="L32" s="130"/>
      <c r="M32" s="168"/>
      <c r="N32" s="164"/>
    </row>
    <row r="33" spans="2:14" ht="15.6" x14ac:dyDescent="0.25">
      <c r="B33" s="32" t="s">
        <v>456</v>
      </c>
      <c r="F33" s="1">
        <f>'Alt-GPL Calc for VOCs'!I17</f>
        <v>1.5</v>
      </c>
      <c r="L33" s="33"/>
      <c r="M33" s="169"/>
      <c r="N33" s="158"/>
    </row>
    <row r="34" spans="2:14" x14ac:dyDescent="0.25">
      <c r="L34" s="33"/>
      <c r="M34" s="169"/>
      <c r="N34" s="158"/>
    </row>
    <row r="35" spans="2:14" x14ac:dyDescent="0.25">
      <c r="B35" s="32" t="s">
        <v>457</v>
      </c>
      <c r="D35" s="32" t="s">
        <v>485</v>
      </c>
      <c r="F35" s="1">
        <f>1+(F33*F31*F29)/F25</f>
        <v>1.0029999999999999</v>
      </c>
      <c r="L35" s="33"/>
      <c r="M35" s="169"/>
      <c r="N35" s="164"/>
    </row>
    <row r="37" spans="2:14" x14ac:dyDescent="0.25">
      <c r="B37" s="1" t="s">
        <v>104</v>
      </c>
    </row>
    <row r="39" spans="2:14" x14ac:dyDescent="0.25">
      <c r="C39" s="32" t="s">
        <v>484</v>
      </c>
    </row>
    <row r="41" spans="2:14" ht="12" customHeight="1" x14ac:dyDescent="0.25">
      <c r="C41" s="1" t="s">
        <v>121</v>
      </c>
      <c r="D41" s="1">
        <f>($F$7+$F$23)/($F$15/100)</f>
        <v>405</v>
      </c>
    </row>
    <row r="43" spans="2:14" x14ac:dyDescent="0.25">
      <c r="B43" s="1" t="s">
        <v>105</v>
      </c>
    </row>
    <row r="45" spans="2:14" x14ac:dyDescent="0.25">
      <c r="C45" s="1" t="s">
        <v>122</v>
      </c>
    </row>
    <row r="47" spans="2:14" x14ac:dyDescent="0.25">
      <c r="D47" s="32" t="s">
        <v>486</v>
      </c>
    </row>
    <row r="49" spans="2:10" x14ac:dyDescent="0.25">
      <c r="D49" s="1">
        <f>$F$35*(F7+ F23)/(F15/100)</f>
        <v>406.21499999999997</v>
      </c>
      <c r="E49" s="32" t="s">
        <v>487</v>
      </c>
    </row>
    <row r="50" spans="2:10" x14ac:dyDescent="0.25">
      <c r="J50" s="32"/>
    </row>
    <row r="52" spans="2:10" x14ac:dyDescent="0.25">
      <c r="C52" s="1" t="s">
        <v>123</v>
      </c>
    </row>
    <row r="53" spans="2:10" x14ac:dyDescent="0.25">
      <c r="C53" s="1" t="s">
        <v>115</v>
      </c>
    </row>
    <row r="55" spans="2:10" x14ac:dyDescent="0.25">
      <c r="D55" s="1" t="s">
        <v>161</v>
      </c>
    </row>
    <row r="56" spans="2:10" x14ac:dyDescent="0.25">
      <c r="B56" s="95"/>
      <c r="C56" s="95"/>
      <c r="D56" s="95"/>
      <c r="E56" s="95"/>
      <c r="F56" s="95"/>
      <c r="G56" s="95"/>
      <c r="H56" s="95"/>
      <c r="I56" s="95"/>
      <c r="J56" s="95"/>
    </row>
    <row r="57" spans="2:10" x14ac:dyDescent="0.25">
      <c r="B57" s="95"/>
      <c r="C57" s="95"/>
      <c r="D57" s="95" t="s">
        <v>119</v>
      </c>
      <c r="E57" s="95"/>
      <c r="F57" s="95">
        <f>$F$23*$F$17/($F$23*$F$17+($F$7*$F$20))</f>
        <v>0.24691358024691362</v>
      </c>
      <c r="G57" s="95"/>
      <c r="H57" s="95"/>
      <c r="I57" s="95"/>
      <c r="J57" s="95"/>
    </row>
    <row r="60" spans="2:10" x14ac:dyDescent="0.25">
      <c r="C60" s="1" t="s">
        <v>124</v>
      </c>
    </row>
    <row r="62" spans="2:10" x14ac:dyDescent="0.25">
      <c r="D62" s="1">
        <f>MAX(IntercalsJury1!AJ117:AJ317)*(EXP(-0.693/$F$13*$D$49))*$F$57</f>
        <v>43.650003088512399</v>
      </c>
      <c r="E62" s="32" t="s">
        <v>404</v>
      </c>
    </row>
    <row r="63" spans="2:10" x14ac:dyDescent="0.25">
      <c r="B63" s="1" t="s">
        <v>247</v>
      </c>
      <c r="D63" s="1">
        <f>MAX(IntercalsJury1!AJ117:AJ317)</f>
        <v>177.28086877188713</v>
      </c>
      <c r="E63" s="32" t="s">
        <v>404</v>
      </c>
      <c r="F63" s="95"/>
      <c r="G63" s="95"/>
      <c r="H63" s="95"/>
      <c r="I63" s="95"/>
      <c r="J63" s="95"/>
    </row>
    <row r="65" spans="3:7" x14ac:dyDescent="0.25">
      <c r="C65" s="1" t="s">
        <v>125</v>
      </c>
    </row>
    <row r="67" spans="3:7" x14ac:dyDescent="0.25">
      <c r="D67" s="1" t="s">
        <v>126</v>
      </c>
    </row>
    <row r="69" spans="3:7" x14ac:dyDescent="0.25">
      <c r="E69" s="166" t="s">
        <v>483</v>
      </c>
    </row>
    <row r="71" spans="3:7" x14ac:dyDescent="0.25">
      <c r="E71" s="1">
        <f>(F7+F23)*100/F15</f>
        <v>405</v>
      </c>
      <c r="G71" s="1" t="s">
        <v>411</v>
      </c>
    </row>
    <row r="73" spans="3:7" x14ac:dyDescent="0.25">
      <c r="D73" s="1" t="s">
        <v>127</v>
      </c>
    </row>
    <row r="75" spans="3:7" x14ac:dyDescent="0.25">
      <c r="D75" s="1" t="s">
        <v>128</v>
      </c>
      <c r="E75" s="1">
        <f>$F$17*$E$71/F25</f>
        <v>5.67</v>
      </c>
    </row>
    <row r="77" spans="3:7" x14ac:dyDescent="0.25">
      <c r="D77" s="1" t="s">
        <v>129</v>
      </c>
    </row>
    <row r="79" spans="3:7" x14ac:dyDescent="0.25">
      <c r="E79" s="1">
        <f>IF($F$9*100/$E$75&gt;1,$F$9*100/$E$75,1)</f>
        <v>144.62081128747795</v>
      </c>
      <c r="F79" s="32" t="s">
        <v>488</v>
      </c>
    </row>
    <row r="82" spans="3:10" x14ac:dyDescent="0.25">
      <c r="C82" s="1" t="s">
        <v>130</v>
      </c>
    </row>
    <row r="84" spans="3:10" x14ac:dyDescent="0.25">
      <c r="D84" s="1" t="s">
        <v>131</v>
      </c>
    </row>
    <row r="86" spans="3:10" x14ac:dyDescent="0.25">
      <c r="E86" s="1">
        <f>$D$62/$E$79</f>
        <v>0.30182380184373819</v>
      </c>
      <c r="F86" s="32" t="s">
        <v>404</v>
      </c>
    </row>
    <row r="88" spans="3:10" x14ac:dyDescent="0.25">
      <c r="D88" s="1" t="s">
        <v>132</v>
      </c>
      <c r="J88" s="32"/>
    </row>
    <row r="89" spans="3:10" x14ac:dyDescent="0.25">
      <c r="J89" s="32"/>
    </row>
    <row r="90" spans="3:10" x14ac:dyDescent="0.25">
      <c r="E90" s="95">
        <f>(IntercalsJury1!$M$5*$F$11/$E$86)/($F$33+$F$27)/1000</f>
        <v>0.25486087065758301</v>
      </c>
      <c r="F90" s="32" t="s">
        <v>489</v>
      </c>
      <c r="J90" s="32"/>
    </row>
    <row r="91" spans="3:10" x14ac:dyDescent="0.25">
      <c r="J91" s="32"/>
    </row>
    <row r="92" spans="3:10" x14ac:dyDescent="0.25">
      <c r="D92" s="1" t="s">
        <v>318</v>
      </c>
      <c r="J92" s="32"/>
    </row>
    <row r="94" spans="3:10" x14ac:dyDescent="0.25">
      <c r="D94" s="1" t="s">
        <v>319</v>
      </c>
      <c r="F94" s="1">
        <f>IntercalsJury1!M30</f>
        <v>0.33433333333333337</v>
      </c>
    </row>
    <row r="96" spans="3:10" x14ac:dyDescent="0.25">
      <c r="D96" s="20">
        <f>IF(E90&gt;F94,F94,E90)</f>
        <v>0.25486087065758301</v>
      </c>
      <c r="E96" s="32" t="s">
        <v>489</v>
      </c>
    </row>
    <row r="97" spans="4:6" x14ac:dyDescent="0.25">
      <c r="D97" s="20" t="str">
        <f>IF(E90&gt;F94,"GPL based upon solubility threshold","")</f>
        <v/>
      </c>
      <c r="E97" s="21"/>
      <c r="F97" s="22"/>
    </row>
    <row r="99" spans="4:6" x14ac:dyDescent="0.25">
      <c r="D99" s="2"/>
      <c r="E99" s="2"/>
      <c r="F99" s="2"/>
    </row>
    <row r="101" spans="4:6" x14ac:dyDescent="0.25">
      <c r="D101" s="17" t="str">
        <f>IF($E$99&gt;IntercalsJury1!$M$30,"Warning:  Soil concentration exceeds saturation level"," ")</f>
        <v xml:space="preserve"> </v>
      </c>
    </row>
    <row r="245" spans="2:2" x14ac:dyDescent="0.25">
      <c r="B245" s="1" t="s">
        <v>120</v>
      </c>
    </row>
  </sheetData>
  <phoneticPr fontId="15" type="noConversion"/>
  <dataValidations count="13">
    <dataValidation allowBlank="1" showInputMessage="1" showErrorMessage="1" prompt="Extra Note on Water Quality Standard calculation value - The GPL model calculates the maximum soil concentration (GPL) that will yield this value in the point of compliance well." sqref="M11" xr:uid="{00000000-0002-0000-0900-000000000000}"/>
    <dataValidation allowBlank="1" showInputMessage="1" showErrorMessage="1" prompt="The value in the cell to the left will only be used if you selected &quot;enter chemical properties&quot; from the dropdown menu, above. cell K6)_x000a_" sqref="N8" xr:uid="{00000000-0002-0000-0900-000001000000}"/>
    <dataValidation allowBlank="1" showInputMessage="1" showErrorMessage="1" prompt="The value in the cell to the left will only be used if you selected &quot;new soil type&quot; from the dropdown menu, above (cell K15). " sqref="N17" xr:uid="{00000000-0002-0000-0900-000002000000}"/>
    <dataValidation allowBlank="1" showInputMessage="1" showErrorMessage="1" prompt="Drop-Down List:Select a soil type or&quot;new soil type&quot;" sqref="N16" xr:uid="{00000000-0002-0000-0900-000003000000}"/>
    <dataValidation allowBlank="1" showInputMessage="1" showErrorMessage="1" prompt="Drop-Down List: Select a chemical or_x000a_&quot;Enter chemical properties&quot; for unlisted chemical" sqref="N7" xr:uid="{00000000-0002-0000-0900-000004000000}"/>
    <dataValidation allowBlank="1" showInputMessage="1" showErrorMessage="1" prompt="The value in the cell to the left will always be used. _x000a_Note: This is not used for GPL or saturation limit calcs, but rather the graphs on tabs OutputJury1 and Output Jury2." sqref="N14" xr:uid="{00000000-0002-0000-0900-000005000000}"/>
    <dataValidation allowBlank="1" showInputMessage="1" showErrorMessage="1" prompt="The value in the cell to the left will always be used." sqref="N34:N35" xr:uid="{00000000-0002-0000-0900-000006000000}"/>
    <dataValidation allowBlank="1" showInputMessage="1" showErrorMessage="1" prompt="Values manually entered in the cell to the left irrelevant. Data entered into the cell will be overwritten when you select checkbox 4 or 5 of the Run GPL dialog box. To set a manual step time, enter a value in the Run GPL dialog box. " sqref="N33" xr:uid="{00000000-0002-0000-0900-000007000000}"/>
    <dataValidation allowBlank="1" showInputMessage="1" showErrorMessage="1" prompt="The value in the cell to the left will be overwritten if you select checkbox 1 of the Run GPL dialog box." sqref="N21:N32" xr:uid="{00000000-0002-0000-0900-000008000000}"/>
    <dataValidation allowBlank="1" showInputMessage="1" showErrorMessage="1" prompt="The value in the cell to the left will only be used if you selected &quot;new soil type&quot; from the dropdown menu, above (row 15). " sqref="N18:N20" xr:uid="{00000000-0002-0000-0900-000009000000}"/>
    <dataValidation allowBlank="1" showInputMessage="1" showErrorMessage="1" prompt="The value in the cell to the left will only be used if you selected &quot;enter chemical properties&quot; from the dropdown menu, above. (row 6)" sqref="N11" xr:uid="{00000000-0002-0000-0900-00000A000000}"/>
    <dataValidation allowBlank="1" showInputMessage="1" showErrorMessage="1" prompt="The value in the cell to the left will be overwritten if you select checkbox 2 or 3 of the Run GPL dialog box." sqref="N12:N13" xr:uid="{00000000-0002-0000-0900-00000B000000}"/>
    <dataValidation allowBlank="1" showInputMessage="1" showErrorMessage="1" prompt="The value in the cell to the left will only be used if you selected &quot;enter chemical properties&quot; from the dropdown menu, above. (row 6)_x000a_" sqref="N9:N10" xr:uid="{00000000-0002-0000-0900-00000C000000}"/>
  </dataValidations>
  <pageMargins left="0.75" right="0.75" top="1" bottom="1" header="0.5" footer="0.5"/>
  <pageSetup paperSize="119" scale="74" orientation="portrait" r:id="rId1"/>
  <headerFooter alignWithMargins="0"/>
  <rowBreaks count="1" manualBreakCount="1">
    <brk id="3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T263"/>
  <sheetViews>
    <sheetView view="pageBreakPreview" zoomScale="10" zoomScaleNormal="70" zoomScaleSheetLayoutView="10" workbookViewId="0">
      <selection activeCell="B263" sqref="B263"/>
    </sheetView>
  </sheetViews>
  <sheetFormatPr defaultColWidth="9.21875" defaultRowHeight="13.2" x14ac:dyDescent="0.25"/>
  <cols>
    <col min="1" max="17" width="9.21875" style="1"/>
    <col min="18" max="18" width="14.77734375" style="1" customWidth="1"/>
    <col min="19" max="21" width="9.21875" style="1"/>
    <col min="22" max="22" width="12.44140625" style="1" bestFit="1" customWidth="1"/>
    <col min="23" max="24" width="9.21875" style="1"/>
    <col min="25" max="25" width="13.5546875" style="1" customWidth="1"/>
    <col min="26" max="30" width="9.21875" style="1"/>
    <col min="31" max="31" width="11.21875" style="1" customWidth="1"/>
    <col min="32" max="16384" width="9.21875" style="1"/>
  </cols>
  <sheetData>
    <row r="1" spans="1:15" x14ac:dyDescent="0.25">
      <c r="A1" s="8">
        <v>39475</v>
      </c>
      <c r="C1" s="1" t="s">
        <v>65</v>
      </c>
      <c r="F1" s="1" t="s">
        <v>330</v>
      </c>
    </row>
    <row r="4" spans="1:15" x14ac:dyDescent="0.25">
      <c r="B4" s="1" t="s">
        <v>136</v>
      </c>
      <c r="M4" s="10">
        <f>'Alt-GPL Calc for VOCs'!I13</f>
        <v>100</v>
      </c>
    </row>
    <row r="5" spans="1:15" ht="15.6" x14ac:dyDescent="0.25">
      <c r="B5" s="1" t="s">
        <v>107</v>
      </c>
      <c r="M5" s="10">
        <f>$M$4*$M$9</f>
        <v>150</v>
      </c>
    </row>
    <row r="6" spans="1:15" x14ac:dyDescent="0.25">
      <c r="B6" s="1" t="s">
        <v>94</v>
      </c>
      <c r="M6" s="10">
        <f>'Alt-GPL Calc for VOCs'!I11</f>
        <v>100000</v>
      </c>
    </row>
    <row r="7" spans="1:15" x14ac:dyDescent="0.25">
      <c r="B7" s="1" t="s">
        <v>95</v>
      </c>
      <c r="M7" s="7">
        <f>'Alt-GPL Calc for VOCs'!$I$7</f>
        <v>1</v>
      </c>
    </row>
    <row r="8" spans="1:15" x14ac:dyDescent="0.25">
      <c r="B8" s="1" t="s">
        <v>88</v>
      </c>
      <c r="M8" s="7">
        <f>'Alt-GPL Calc for VOCs'!I16</f>
        <v>0.5</v>
      </c>
    </row>
    <row r="9" spans="1:15" ht="15.6" x14ac:dyDescent="0.25">
      <c r="B9" s="1" t="s">
        <v>155</v>
      </c>
      <c r="M9" s="7">
        <f>'Alt-GPL Calc for VOCs'!I17</f>
        <v>1.5</v>
      </c>
    </row>
    <row r="10" spans="1:15" x14ac:dyDescent="0.25">
      <c r="B10" s="1" t="s">
        <v>1</v>
      </c>
      <c r="M10" s="7">
        <f>'Alt-GPL Calc for VOCs'!I19</f>
        <v>1E-3</v>
      </c>
    </row>
    <row r="11" spans="1:15" ht="15.6" x14ac:dyDescent="0.25">
      <c r="B11" s="1" t="s">
        <v>2</v>
      </c>
      <c r="M11" s="7">
        <f>'Alt-GPL Calc for VOCs'!I21</f>
        <v>7000</v>
      </c>
      <c r="N11" s="1" t="s">
        <v>134</v>
      </c>
    </row>
    <row r="12" spans="1:15" ht="15.6" x14ac:dyDescent="0.25">
      <c r="B12" s="1" t="s">
        <v>3</v>
      </c>
      <c r="M12" s="7">
        <f>'Alt-GPL Calc for VOCs'!I22</f>
        <v>0.7</v>
      </c>
      <c r="N12" s="1" t="s">
        <v>134</v>
      </c>
      <c r="O12" s="1" t="s">
        <v>75</v>
      </c>
    </row>
    <row r="13" spans="1:15" x14ac:dyDescent="0.25">
      <c r="B13" s="1" t="s">
        <v>61</v>
      </c>
      <c r="M13" s="7">
        <f>'Alt-GPL Calc for VOCs'!I25</f>
        <v>1000</v>
      </c>
      <c r="N13" s="1" t="s">
        <v>99</v>
      </c>
    </row>
    <row r="14" spans="1:15" x14ac:dyDescent="0.25">
      <c r="B14" s="1" t="s">
        <v>87</v>
      </c>
      <c r="M14" s="7">
        <f>'Alt-GPL Calc for VOCs'!I18</f>
        <v>0.45</v>
      </c>
    </row>
    <row r="15" spans="1:15" x14ac:dyDescent="0.25">
      <c r="B15" s="1" t="s">
        <v>93</v>
      </c>
      <c r="M15" s="7">
        <f>'Alt-GPL Calc for VOCs'!I24</f>
        <v>7.0000000000000001E-3</v>
      </c>
    </row>
    <row r="16" spans="1:15" x14ac:dyDescent="0.25">
      <c r="B16" s="1" t="s">
        <v>85</v>
      </c>
      <c r="M16" s="7">
        <f>'Alt-GPL Calc for VOCs'!$I$9</f>
        <v>1</v>
      </c>
    </row>
    <row r="17" spans="2:20" x14ac:dyDescent="0.25">
      <c r="B17" s="1" t="s">
        <v>96</v>
      </c>
      <c r="M17" s="7">
        <f>'Alt-GPL Calc for VOCs'!I34</f>
        <v>3000</v>
      </c>
    </row>
    <row r="18" spans="2:20" x14ac:dyDescent="0.25">
      <c r="B18" s="1" t="s">
        <v>5</v>
      </c>
      <c r="M18" s="7">
        <f>$M$8-$M$14</f>
        <v>4.9999999999999989E-2</v>
      </c>
    </row>
    <row r="19" spans="2:20" x14ac:dyDescent="0.25">
      <c r="B19" s="1" t="s">
        <v>69</v>
      </c>
      <c r="M19" s="7">
        <f>'Alt-GPL Calc for VOCs'!I33</f>
        <v>365</v>
      </c>
    </row>
    <row r="20" spans="2:20" x14ac:dyDescent="0.25">
      <c r="B20" s="1" t="s">
        <v>24</v>
      </c>
      <c r="M20" s="7">
        <v>0.5</v>
      </c>
      <c r="N20" s="1" t="s">
        <v>134</v>
      </c>
    </row>
    <row r="21" spans="2:20" x14ac:dyDescent="0.25">
      <c r="M21" s="7"/>
    </row>
    <row r="22" spans="2:20" x14ac:dyDescent="0.25">
      <c r="M22" s="7"/>
    </row>
    <row r="23" spans="2:20" x14ac:dyDescent="0.25">
      <c r="M23" s="7"/>
    </row>
    <row r="24" spans="2:20" x14ac:dyDescent="0.25">
      <c r="B24" s="1" t="s">
        <v>145</v>
      </c>
      <c r="M24" s="7">
        <f>($M$16*$M$10*$M$9)+($M$14+$M$18*$M$7)</f>
        <v>0.50149999999999995</v>
      </c>
    </row>
    <row r="25" spans="2:20" x14ac:dyDescent="0.25">
      <c r="B25" s="1" t="s">
        <v>156</v>
      </c>
      <c r="M25" s="7">
        <f>$M$5/$M$24</f>
        <v>299.10269192422737</v>
      </c>
    </row>
    <row r="26" spans="2:20" x14ac:dyDescent="0.25">
      <c r="B26" s="1" t="s">
        <v>157</v>
      </c>
      <c r="M26" s="7">
        <f>$M$25*$M$7</f>
        <v>299.10269192422737</v>
      </c>
    </row>
    <row r="27" spans="2:20" x14ac:dyDescent="0.25">
      <c r="B27" s="1" t="s">
        <v>158</v>
      </c>
      <c r="M27" s="7">
        <f>$M$25*$M$10*$M$16</f>
        <v>0.29910269192422739</v>
      </c>
    </row>
    <row r="28" spans="2:20" ht="22.8" x14ac:dyDescent="0.4">
      <c r="C28" s="3" t="s">
        <v>6</v>
      </c>
      <c r="D28" s="3"/>
      <c r="E28" s="3"/>
      <c r="F28" s="3"/>
      <c r="G28" s="3"/>
      <c r="I28" s="4"/>
      <c r="J28" s="4"/>
      <c r="K28" s="4"/>
      <c r="L28" s="4"/>
      <c r="O28" s="4" t="s">
        <v>10</v>
      </c>
      <c r="P28" s="4"/>
      <c r="T28" s="4"/>
    </row>
    <row r="29" spans="2:20" x14ac:dyDescent="0.25">
      <c r="H29" s="1" t="s">
        <v>4</v>
      </c>
    </row>
    <row r="30" spans="2:20" ht="15.6" x14ac:dyDescent="0.25">
      <c r="R30" s="1" t="s">
        <v>11</v>
      </c>
    </row>
    <row r="31" spans="2:20" x14ac:dyDescent="0.25">
      <c r="B31" s="1" t="s">
        <v>7</v>
      </c>
      <c r="I31" s="1">
        <f>$M$9*$M$10*$M$16</f>
        <v>1.5E-3</v>
      </c>
    </row>
    <row r="32" spans="2:20" ht="15.6" x14ac:dyDescent="0.25">
      <c r="B32" s="1" t="s">
        <v>8</v>
      </c>
      <c r="I32" s="1">
        <f>$I$31+$M$14+$M$18*$M$7</f>
        <v>0.50150000000000006</v>
      </c>
      <c r="O32" s="1" t="s">
        <v>329</v>
      </c>
      <c r="T32" s="1">
        <f>((POWER($M$18,3.33)*$M$11*$M$7+POWER($M$14,3.33)*$M$12))/POWER($M$8,2)</f>
        <v>1.49839626292817</v>
      </c>
    </row>
    <row r="33" spans="2:20" x14ac:dyDescent="0.25">
      <c r="B33" s="1" t="s">
        <v>9</v>
      </c>
      <c r="I33" s="1">
        <f>$M$15/$I$32</f>
        <v>1.3958125623130606E-2</v>
      </c>
      <c r="R33" s="1" t="s">
        <v>12</v>
      </c>
      <c r="T33" s="1">
        <f>$T$32/$I$32</f>
        <v>2.9878290387401192</v>
      </c>
    </row>
    <row r="36" spans="2:20" ht="22.8" x14ac:dyDescent="0.4">
      <c r="C36" s="4" t="s">
        <v>13</v>
      </c>
      <c r="D36" s="4"/>
      <c r="E36" s="4"/>
      <c r="F36" s="4"/>
      <c r="G36" s="4"/>
      <c r="O36" s="4" t="s">
        <v>18</v>
      </c>
      <c r="P36" s="4"/>
    </row>
    <row r="37" spans="2:20" ht="15.6" x14ac:dyDescent="0.25">
      <c r="B37" s="1" t="s">
        <v>52</v>
      </c>
      <c r="N37" s="1" t="s">
        <v>98</v>
      </c>
    </row>
    <row r="39" spans="2:20" x14ac:dyDescent="0.25">
      <c r="C39" s="1">
        <f>$M$11*$M$7/($M$20*$I$32)</f>
        <v>27916.251246261214</v>
      </c>
      <c r="N39" s="1" t="s">
        <v>26</v>
      </c>
      <c r="R39" s="1">
        <f>1+($I$33/$C$39)</f>
        <v>1.0000005000000001</v>
      </c>
    </row>
    <row r="40" spans="2:20" x14ac:dyDescent="0.25">
      <c r="N40" s="1" t="s">
        <v>28</v>
      </c>
      <c r="R40" s="1">
        <f>($I$33*$M$17)/$T$33</f>
        <v>14.014984233183913</v>
      </c>
    </row>
    <row r="41" spans="2:20" x14ac:dyDescent="0.25">
      <c r="N41" s="1" t="s">
        <v>27</v>
      </c>
      <c r="R41" s="1">
        <f>R39*EXP(R40)</f>
        <v>1220760.6831472458</v>
      </c>
    </row>
    <row r="44" spans="2:20" ht="22.8" x14ac:dyDescent="0.4">
      <c r="C44" s="4" t="s">
        <v>22</v>
      </c>
      <c r="D44" s="4"/>
      <c r="E44" s="4"/>
      <c r="F44" s="4"/>
      <c r="G44" s="4"/>
      <c r="H44" s="4"/>
      <c r="Q44" s="4" t="s">
        <v>25</v>
      </c>
    </row>
    <row r="45" spans="2:20" ht="15.6" x14ac:dyDescent="0.25">
      <c r="H45" s="1" t="s">
        <v>30</v>
      </c>
      <c r="Q45" s="1" t="s">
        <v>19</v>
      </c>
    </row>
    <row r="47" spans="2:20" x14ac:dyDescent="0.25">
      <c r="B47" s="1" t="s">
        <v>14</v>
      </c>
      <c r="I47" s="1">
        <f>($M$17-$M$13-($I$33*$M$19))</f>
        <v>1994.9052841475573</v>
      </c>
      <c r="N47" s="1" t="s">
        <v>20</v>
      </c>
      <c r="R47" s="1">
        <f>($M$17-$M$19*$I$33)</f>
        <v>2994.9052841475573</v>
      </c>
    </row>
    <row r="48" spans="2:20" x14ac:dyDescent="0.25">
      <c r="B48" s="1" t="s">
        <v>15</v>
      </c>
      <c r="I48" s="1">
        <f>POWER(4*$T$33*$M$19,0.5)</f>
        <v>66.04718310844585</v>
      </c>
      <c r="N48" s="1" t="s">
        <v>21</v>
      </c>
      <c r="R48" s="1">
        <f>($M$17-($M$19*$I$33))/POWER(4*$T$33*$M$19,0.5)</f>
        <v>45.344935895753302</v>
      </c>
    </row>
    <row r="49" spans="2:19" x14ac:dyDescent="0.25">
      <c r="B49" s="1" t="s">
        <v>17</v>
      </c>
      <c r="I49" s="1">
        <f>($M$17-$M$13-($I$33*$M$19))/POWER(4*$T$33*$M$19,0.5)</f>
        <v>30.204244757449114</v>
      </c>
      <c r="N49" s="1" t="s">
        <v>51</v>
      </c>
      <c r="R49" s="1">
        <f>IF($R$48&gt;0,ERFC(IF($R$48&lt;27,$R$48,27)),1+ERF(IF(-$R$48&lt;27,-$R$48,27)))</f>
        <v>0</v>
      </c>
    </row>
    <row r="50" spans="2:19" x14ac:dyDescent="0.25">
      <c r="B50" s="1" t="s">
        <v>16</v>
      </c>
      <c r="I50" s="1">
        <f>IF($I$49&gt;0,ERFC(IF($I$49&lt;27,$I$49,27)),1+ERF(IF(-$I$49&lt;27,-$I$4%,27)))</f>
        <v>0</v>
      </c>
      <c r="S50" s="1">
        <f>IF(($M$17-$M$19*$I$33)/POWER(4*$T$33*$M$19,0.5)&gt;27,ERFC(27),6)</f>
        <v>0</v>
      </c>
    </row>
    <row r="53" spans="2:19" ht="22.8" x14ac:dyDescent="0.4">
      <c r="C53" s="4" t="s">
        <v>29</v>
      </c>
      <c r="D53" s="4"/>
      <c r="E53" s="4"/>
      <c r="F53" s="4"/>
      <c r="G53" s="4"/>
      <c r="I53" s="4"/>
      <c r="J53" s="4"/>
      <c r="K53" s="4"/>
      <c r="L53" s="4"/>
      <c r="Q53" s="4" t="s">
        <v>35</v>
      </c>
      <c r="R53" s="4"/>
    </row>
    <row r="55" spans="2:19" ht="15.6" x14ac:dyDescent="0.25">
      <c r="H55" s="1" t="s">
        <v>23</v>
      </c>
      <c r="Q55" s="1" t="s">
        <v>31</v>
      </c>
    </row>
    <row r="56" spans="2:19" x14ac:dyDescent="0.25">
      <c r="H56" s="1" t="s">
        <v>79</v>
      </c>
    </row>
    <row r="57" spans="2:19" x14ac:dyDescent="0.25">
      <c r="B57" s="1" t="s">
        <v>26</v>
      </c>
      <c r="I57" s="1">
        <f>1+($I$33/$C$39)</f>
        <v>1.0000005000000001</v>
      </c>
      <c r="N57" s="1" t="s">
        <v>32</v>
      </c>
      <c r="R57" s="1">
        <f>$M$17+$M$13+($I$33*$M$19)</f>
        <v>4005.0947158524427</v>
      </c>
    </row>
    <row r="58" spans="2:19" x14ac:dyDescent="0.25">
      <c r="B58" s="1" t="s">
        <v>28</v>
      </c>
      <c r="I58" s="1">
        <f>($I$33*$M$17)/$T$33</f>
        <v>14.014984233183913</v>
      </c>
      <c r="N58" s="1" t="s">
        <v>33</v>
      </c>
      <c r="R58" s="1">
        <f>($M$17+$M$13+$I$33*$M$19)/POWER(4*$T$33*$M$19,0.5)</f>
        <v>60.639902072376003</v>
      </c>
    </row>
    <row r="59" spans="2:19" x14ac:dyDescent="0.25">
      <c r="B59" s="1" t="s">
        <v>27</v>
      </c>
      <c r="I59" s="1">
        <f>(1+($I$33/$C$39))*EXP(($I$33*$M$17)/$T$33)</f>
        <v>1220760.6831472458</v>
      </c>
      <c r="N59" s="1" t="s">
        <v>34</v>
      </c>
      <c r="R59" s="1">
        <f>IF($R$58&gt;27,ERFC(27),ERFC($R$58))</f>
        <v>0</v>
      </c>
    </row>
    <row r="60" spans="2:19" ht="22.8" x14ac:dyDescent="0.4">
      <c r="M60" s="4"/>
    </row>
    <row r="61" spans="2:19" ht="22.8" x14ac:dyDescent="0.4">
      <c r="C61" s="4" t="s">
        <v>39</v>
      </c>
      <c r="D61" s="4"/>
      <c r="E61" s="4"/>
      <c r="F61" s="4"/>
      <c r="G61" s="4"/>
      <c r="I61" s="4"/>
      <c r="J61" s="4"/>
      <c r="K61" s="4"/>
      <c r="L61" s="4"/>
      <c r="Q61" s="4" t="s">
        <v>47</v>
      </c>
    </row>
    <row r="63" spans="2:19" ht="15.6" x14ac:dyDescent="0.25">
      <c r="H63" s="1" t="s">
        <v>36</v>
      </c>
      <c r="Q63" s="1" t="s">
        <v>40</v>
      </c>
    </row>
    <row r="65" spans="2:18" x14ac:dyDescent="0.25">
      <c r="B65" s="1" t="s">
        <v>37</v>
      </c>
      <c r="I65" s="1">
        <f>$M$17+($I$33*$M$19)</f>
        <v>3005.0947158524427</v>
      </c>
      <c r="N65" s="1" t="s">
        <v>41</v>
      </c>
      <c r="R65" s="1">
        <f>2+$I$33/$C$39</f>
        <v>2.0000005000000001</v>
      </c>
    </row>
    <row r="66" spans="2:18" ht="15.6" x14ac:dyDescent="0.25">
      <c r="B66" s="1" t="s">
        <v>70</v>
      </c>
      <c r="I66" s="1">
        <f>($M$17+($I$33*$M$19))/(POWER(4*$T$33*$M$19,0.5))</f>
        <v>45.499210934071819</v>
      </c>
    </row>
    <row r="67" spans="2:18" x14ac:dyDescent="0.25">
      <c r="B67" s="1" t="s">
        <v>38</v>
      </c>
      <c r="I67" s="1">
        <f>IF($I$66&gt;27,ERFC(27),ERFC($I$66))</f>
        <v>0</v>
      </c>
      <c r="N67" s="1" t="s">
        <v>42</v>
      </c>
      <c r="R67" s="1">
        <f>$I$33+$C$39</f>
        <v>27916.265204386837</v>
      </c>
    </row>
    <row r="68" spans="2:18" x14ac:dyDescent="0.25">
      <c r="N68" s="1" t="s">
        <v>43</v>
      </c>
      <c r="R68" s="1">
        <f>$C$39*($C$39+$I$33)*$M$19</f>
        <v>284450877755.56677</v>
      </c>
    </row>
    <row r="69" spans="2:18" x14ac:dyDescent="0.25">
      <c r="N69" s="1" t="s">
        <v>44</v>
      </c>
      <c r="R69" s="1">
        <f>($C$39+$I$33)*$M$17</f>
        <v>83748795.613160506</v>
      </c>
    </row>
    <row r="70" spans="2:18" x14ac:dyDescent="0.25">
      <c r="N70" s="1" t="s">
        <v>45</v>
      </c>
      <c r="R70" s="1">
        <f>$C$39*($C$39+$I$33)*$M$19+($C$39+$I$33)*$M$17</f>
        <v>284534626551.17993</v>
      </c>
    </row>
    <row r="71" spans="2:18" x14ac:dyDescent="0.25">
      <c r="N71" s="1" t="s">
        <v>86</v>
      </c>
      <c r="R71" s="1">
        <f>($C$39*($C$39+$I$33)*$M$19+($C$39+$I$33)*$M$17)/$T$33</f>
        <v>95231227376.771179</v>
      </c>
    </row>
    <row r="72" spans="2:18" x14ac:dyDescent="0.25">
      <c r="N72" s="1" t="s">
        <v>64</v>
      </c>
      <c r="R72" s="1">
        <f>IF(($C$39*($C$39+$I$33)*$M$19+($C$39+$I$33)*$M$17)/$T$33&gt;225,225,($C$39*($C$39+$I$33)*$M$19+($C$39+$I$33)*$M$17)/$T$33)</f>
        <v>225</v>
      </c>
    </row>
    <row r="73" spans="2:18" x14ac:dyDescent="0.25">
      <c r="N73" s="1" t="s">
        <v>46</v>
      </c>
      <c r="R73" s="1">
        <f>EXP(IF(($C$39*($C$39+$I$33)*$M$19+($C$39+$I$33)*$M$17)/$T$33&gt;225,225,($C$39*($C$39+$I$33)*$M$19+($C$39+$I$33)*$M$17)/$T$33))</f>
        <v>5.2030551378848545E+97</v>
      </c>
    </row>
    <row r="75" spans="2:18" ht="22.8" x14ac:dyDescent="0.4">
      <c r="C75" s="4" t="s">
        <v>53</v>
      </c>
      <c r="D75" s="4"/>
      <c r="E75" s="4"/>
      <c r="F75" s="4"/>
      <c r="G75" s="4"/>
      <c r="Q75" s="4" t="s">
        <v>66</v>
      </c>
      <c r="R75" s="4"/>
    </row>
    <row r="77" spans="2:18" ht="15.6" x14ac:dyDescent="0.25">
      <c r="H77" s="1" t="s">
        <v>48</v>
      </c>
      <c r="Q77" s="1" t="s">
        <v>54</v>
      </c>
    </row>
    <row r="78" spans="2:18" x14ac:dyDescent="0.25">
      <c r="Q78" s="1" t="s">
        <v>81</v>
      </c>
    </row>
    <row r="79" spans="2:18" ht="15.6" x14ac:dyDescent="0.25">
      <c r="B79" s="1" t="s">
        <v>49</v>
      </c>
      <c r="I79" s="1">
        <f>$M$17+(2*$C$39+$I$33)*$M19/POWER(4*$T$33*$M$19,0.5)</f>
        <v>311550.15377454559</v>
      </c>
      <c r="N79" s="1" t="s">
        <v>62</v>
      </c>
      <c r="R79" s="1">
        <f>$C$39*$M$13/$T$33</f>
        <v>9343322.8221226092</v>
      </c>
    </row>
    <row r="80" spans="2:18" x14ac:dyDescent="0.25">
      <c r="B80" s="1" t="s">
        <v>50</v>
      </c>
      <c r="I80" s="1">
        <f>IF($M$17+(2*$C$39+$I$33)*$M19/POWER(4*$T$33*$M$19,0.5)&gt;27,ERFC(27),ERFC(($M$17+(2*$C$39+$I$33)*$M19/POWER(4*$T$33*$M$19,0.5))))</f>
        <v>0</v>
      </c>
      <c r="N80" s="1" t="s">
        <v>63</v>
      </c>
      <c r="R80" s="1">
        <f>IF($C$39*$M$13/$T$33&gt;225,225,$C$39*$M$13/$T$33)</f>
        <v>225</v>
      </c>
    </row>
    <row r="81" spans="2:18" x14ac:dyDescent="0.25">
      <c r="N81" s="1" t="s">
        <v>54</v>
      </c>
      <c r="R81" s="1">
        <f>EXP(R80)</f>
        <v>5.2030551378848545E+97</v>
      </c>
    </row>
    <row r="84" spans="2:18" ht="22.8" x14ac:dyDescent="0.4">
      <c r="C84" s="4" t="s">
        <v>67</v>
      </c>
      <c r="D84" s="4"/>
      <c r="E84" s="4"/>
      <c r="F84" s="4"/>
      <c r="G84" s="4"/>
      <c r="I84" s="4"/>
      <c r="J84" s="4"/>
      <c r="K84" s="4"/>
      <c r="L84" s="4"/>
      <c r="Q84" s="4" t="s">
        <v>68</v>
      </c>
      <c r="R84" s="4"/>
    </row>
    <row r="85" spans="2:18" ht="22.8" x14ac:dyDescent="0.4">
      <c r="R85" s="4"/>
    </row>
    <row r="86" spans="2:18" ht="15.6" x14ac:dyDescent="0.25">
      <c r="H86" s="1" t="s">
        <v>55</v>
      </c>
      <c r="N86" s="1" t="s">
        <v>59</v>
      </c>
      <c r="R86" s="1">
        <f>0.693/$M$6</f>
        <v>6.9299999999999997E-6</v>
      </c>
    </row>
    <row r="87" spans="2:18" x14ac:dyDescent="0.25">
      <c r="N87" s="1" t="s">
        <v>58</v>
      </c>
      <c r="R87" s="1">
        <f>EXP(-0.693/$M$6*$M$19)</f>
        <v>0.99747374636306974</v>
      </c>
    </row>
    <row r="88" spans="2:18" x14ac:dyDescent="0.25">
      <c r="B88" s="1" t="s">
        <v>56</v>
      </c>
      <c r="I88" s="1">
        <f>$M$17+$M$13+(2*$C$39+$I$33)*$M$19</f>
        <v>20382868.504486538</v>
      </c>
    </row>
    <row r="89" spans="2:18" ht="15.6" x14ac:dyDescent="0.25">
      <c r="B89" s="1" t="s">
        <v>57</v>
      </c>
      <c r="I89" s="1">
        <f>POWER(4*$T$33*$M$19,0.5)</f>
        <v>66.04718310844585</v>
      </c>
    </row>
    <row r="90" spans="2:18" x14ac:dyDescent="0.25">
      <c r="B90" s="1" t="s">
        <v>71</v>
      </c>
      <c r="I90" s="1">
        <f>($M$17+$M$13+(2*$C$39+$I$33)*$M$19)/POWER(4*$T$33*$M$19,0.5)</f>
        <v>308610.71653909882</v>
      </c>
    </row>
    <row r="91" spans="2:18" x14ac:dyDescent="0.25">
      <c r="B91" s="1" t="s">
        <v>55</v>
      </c>
      <c r="I91" s="1">
        <f>IF(($M$17+$M$13+(2*$C$39+$I$33)*$M$19)/POWER(4*$T$33*$M$19,0.5)&gt;27,ERFC(27),ERFC(($M$17+$M$13+(2*$C$39+$I$33)*$M$19)/POWER(4*$T$33*$M$19,0.5)))</f>
        <v>0</v>
      </c>
    </row>
    <row r="97" spans="2:45" x14ac:dyDescent="0.25">
      <c r="C97" s="1" t="s">
        <v>60</v>
      </c>
    </row>
    <row r="103" spans="2:45" x14ac:dyDescent="0.25">
      <c r="T103" s="1">
        <f>POWER(4*$T$33*B126,0.5)</f>
        <v>55.743539538584415</v>
      </c>
    </row>
    <row r="105" spans="2:45" ht="20.399999999999999" x14ac:dyDescent="0.35">
      <c r="M105" s="5"/>
    </row>
    <row r="106" spans="2:45" x14ac:dyDescent="0.25">
      <c r="B106" s="6"/>
    </row>
    <row r="111" spans="2:45" x14ac:dyDescent="0.25">
      <c r="B111" s="1" t="s">
        <v>97</v>
      </c>
      <c r="D111" s="1" t="s">
        <v>58</v>
      </c>
      <c r="F111" s="1" t="s">
        <v>92</v>
      </c>
      <c r="I111" s="1" t="s">
        <v>72</v>
      </c>
      <c r="L111" s="1" t="s">
        <v>19</v>
      </c>
      <c r="N111" s="1" t="s">
        <v>51</v>
      </c>
      <c r="Q111" s="1" t="s">
        <v>73</v>
      </c>
      <c r="S111" s="1" t="s">
        <v>90</v>
      </c>
      <c r="V111" s="1" t="s">
        <v>101</v>
      </c>
      <c r="Z111" s="1" t="s">
        <v>74</v>
      </c>
      <c r="AC111" s="1" t="s">
        <v>55</v>
      </c>
      <c r="AF111" s="1" t="s">
        <v>100</v>
      </c>
      <c r="AI111" s="1" t="s">
        <v>135</v>
      </c>
      <c r="AK111" s="1" t="s">
        <v>113</v>
      </c>
      <c r="AM111" s="1" t="s">
        <v>137</v>
      </c>
      <c r="AO111" s="1" t="s">
        <v>114</v>
      </c>
      <c r="AQ111" s="1" t="s">
        <v>151</v>
      </c>
      <c r="AS111" s="9"/>
    </row>
    <row r="112" spans="2:45" x14ac:dyDescent="0.25">
      <c r="D112" s="1" t="s">
        <v>84</v>
      </c>
      <c r="I112" s="1" t="s">
        <v>80</v>
      </c>
      <c r="N112" s="1" t="s">
        <v>82</v>
      </c>
      <c r="Q112" s="1" t="s">
        <v>83</v>
      </c>
      <c r="S112" s="1" t="s">
        <v>91</v>
      </c>
      <c r="V112" s="1" t="s">
        <v>77</v>
      </c>
      <c r="Z112" s="1" t="s">
        <v>76</v>
      </c>
      <c r="AC112" s="1" t="s">
        <v>78</v>
      </c>
      <c r="AM112" s="1" t="s">
        <v>138</v>
      </c>
      <c r="AO112" s="1" t="s">
        <v>140</v>
      </c>
      <c r="AQ112" s="1" t="s">
        <v>159</v>
      </c>
    </row>
    <row r="114" spans="2:43" x14ac:dyDescent="0.25">
      <c r="B114" s="1">
        <f>M17/150</f>
        <v>20</v>
      </c>
      <c r="D114" s="1">
        <f t="shared" ref="D114:D145" si="0">EXP(-0.693/$M$6*$M$19)</f>
        <v>0.99747374636306974</v>
      </c>
      <c r="F114" s="1">
        <f t="shared" ref="F114:F145" si="1">(B114-$M$13-($I$33*$M$19))/POWER(4*$T$33*$M$19,0.5)</f>
        <v>-14.915014834697358</v>
      </c>
      <c r="I114" s="1">
        <f t="shared" ref="I114:I145" si="2">IF(F114&gt;0,ERFC(IF(F114&lt;27,F114,27)),1+ERF(IF(-F114&lt;27,-F114,27)))</f>
        <v>2</v>
      </c>
      <c r="L114" s="1">
        <f t="shared" ref="L114:L145" si="3">(B114-($M$19*$I$33))/POWER(4*$T$33*$M$19,0.5)</f>
        <v>0.22567630360682711</v>
      </c>
      <c r="N114" s="1">
        <f t="shared" ref="N114:N145" si="4">IF(L114&gt;0,ERFC(IF(L114&lt;27,L114,27)),1+ERF(IF(-L114&lt;27,-L114,27)))</f>
        <v>0.74960936594943672</v>
      </c>
      <c r="Q114" s="1">
        <f t="shared" ref="Q114:Q145" si="5">IF((B114+$M$13+$I$33*$M$19)/POWER(4*$T$33*$M$19,0.5)&gt;27,ERFC(27),ERFC((B114+$M$13+$I$33*$M$19)/POWER(4*$T$33*$M$19,0.5)))</f>
        <v>8.7553165908943276E-107</v>
      </c>
      <c r="S114" s="1">
        <f>IF((B114+$I$33*$M$19)/(POWER(4*$T$33*$M$19,0.5))&gt;27,ERFC(27),ERFC((B114+$I$33*$M$19)/(POWER(4*$T$33*$M$19,0.5))))</f>
        <v>0.59103806980328244</v>
      </c>
      <c r="V114" s="1">
        <f t="shared" ref="V114:V145" si="6">(2+$I$33/$C$39)*EXP(IF(($C$39*($C$39+$I$33)*$M$19+($C$39+$I$33)*B114)/$T$33&gt;225,225,($C$39*($C$39+$I$33)*$M$19+($C$39+$I$33)*B114)/$T$33))</f>
        <v>1.0406112877297279E+98</v>
      </c>
      <c r="Z114" s="1">
        <f t="shared" ref="Z114:Z145" si="7">IF((B114+((2*$C$39+$I$33)*$M$19))/POWER(4*$T$33*$M$19,0.5)&gt;27,ERFC(27),ERFC((B114+((2*$C$39+$I$33)*$M$19))/POWER(4*$T$33*$M$19,0.5)))</f>
        <v>0</v>
      </c>
      <c r="AC114" s="1">
        <f t="shared" ref="AC114:AC145" si="8">IF((B114+$M$13+((2*$C$39+$I$33)*$M$19))/POWER(4*$T$33*$M$19,0.5)&gt;27,ERFC(27),ERFC((B114+$M$13+((2*$C$39+$I$33)*$M$19))/POWER(4*$T$33*$M$19,0.5)))</f>
        <v>0</v>
      </c>
      <c r="AF114" s="1">
        <f>1+($I$33/$C$39)*EXP($I$33*B114/$T$33)</f>
        <v>1.0000005489686448</v>
      </c>
      <c r="AI114" s="1">
        <f>0.5*D114*((I114-N114)+(AF114)*(Q114-S114)+V114*(Z114-($R$81*AC114)))</f>
        <v>0.3288432743960677</v>
      </c>
      <c r="AK114" s="1">
        <f>$M$4*AI114</f>
        <v>32.884327439606771</v>
      </c>
      <c r="AM114" s="1">
        <f>AI114*$M$25</f>
        <v>98.357908593041202</v>
      </c>
      <c r="AO114" s="1">
        <f>AI114*$M$26</f>
        <v>98.357908593041202</v>
      </c>
      <c r="AQ114" s="1">
        <f>AI114*$M$27</f>
        <v>9.8357908593041207E-2</v>
      </c>
    </row>
    <row r="115" spans="2:43" x14ac:dyDescent="0.25">
      <c r="B115" s="1">
        <f>B114+$M$17/150</f>
        <v>40</v>
      </c>
      <c r="D115" s="1">
        <f t="shared" si="0"/>
        <v>0.99747374636306974</v>
      </c>
      <c r="F115" s="1">
        <f t="shared" si="1"/>
        <v>-14.612201011931274</v>
      </c>
      <c r="I115" s="1">
        <f t="shared" si="2"/>
        <v>2</v>
      </c>
      <c r="L115" s="1">
        <f t="shared" si="3"/>
        <v>0.52849012637291082</v>
      </c>
      <c r="N115" s="1">
        <f t="shared" si="4"/>
        <v>0.45482341004348248</v>
      </c>
      <c r="Q115" s="1">
        <f t="shared" si="5"/>
        <v>6.4839540262667925E-111</v>
      </c>
      <c r="S115" s="1">
        <f t="shared" ref="S115:S145" si="9">IF((B115+$I$33*$M$19)/(POWER(4*$T$33*$M$19,0.5))&gt;27,ERFC(27),ERFC((B115+$I$33*$M$19)/(POWER(4*$T$33*$M$19,0.5))))</f>
        <v>0.33425651168196779</v>
      </c>
      <c r="V115" s="1">
        <f t="shared" si="6"/>
        <v>1.0406112877297279E+98</v>
      </c>
      <c r="Z115" s="1">
        <f t="shared" si="7"/>
        <v>0</v>
      </c>
      <c r="AC115" s="1">
        <f t="shared" si="8"/>
        <v>0</v>
      </c>
      <c r="AF115" s="1">
        <f t="shared" ref="AF115:AF178" si="10">1+($I$33/$C$39)*EXP($I$33*B115/$T$33)</f>
        <v>1.0000006027331461</v>
      </c>
      <c r="AI115" s="1">
        <f t="shared" ref="AI115:AI178" si="11">0.5*D115*((I115-N115)+(AF115)*(Q115-S115)+V115*(Z115-($R$81*AC115)))</f>
        <v>0.60393039303212792</v>
      </c>
      <c r="AK115" s="1">
        <f t="shared" ref="AK115:AK178" si="12">$M$4*AI115</f>
        <v>60.393039303212795</v>
      </c>
      <c r="AM115" s="1">
        <f t="shared" ref="AM115:AM178" si="13">AI115*$M$25</f>
        <v>180.6372062907661</v>
      </c>
      <c r="AO115" s="1">
        <f t="shared" ref="AO115:AO178" si="14">AI115*$M$26</f>
        <v>180.6372062907661</v>
      </c>
      <c r="AQ115" s="1">
        <f t="shared" ref="AQ115:AQ178" si="15">AI115*$M$27</f>
        <v>0.18063720629076613</v>
      </c>
    </row>
    <row r="116" spans="2:43" x14ac:dyDescent="0.25">
      <c r="B116" s="1">
        <f t="shared" ref="B116:B179" si="16">B115+$M$17/150</f>
        <v>60</v>
      </c>
      <c r="D116" s="1">
        <f t="shared" si="0"/>
        <v>0.99747374636306974</v>
      </c>
      <c r="F116" s="1">
        <f t="shared" si="1"/>
        <v>-14.309387189165191</v>
      </c>
      <c r="I116" s="1">
        <f t="shared" si="2"/>
        <v>2</v>
      </c>
      <c r="L116" s="1">
        <f t="shared" si="3"/>
        <v>0.83130394913899464</v>
      </c>
      <c r="N116" s="1">
        <f t="shared" si="4"/>
        <v>0.2397382367877956</v>
      </c>
      <c r="Q116" s="1">
        <f t="shared" si="5"/>
        <v>3.9987005741961041E-115</v>
      </c>
      <c r="S116" s="1">
        <f t="shared" si="9"/>
        <v>0.16337221750202116</v>
      </c>
      <c r="V116" s="1">
        <f t="shared" si="6"/>
        <v>1.0406112877297279E+98</v>
      </c>
      <c r="Z116" s="1">
        <f t="shared" si="7"/>
        <v>0</v>
      </c>
      <c r="AC116" s="1">
        <f t="shared" si="8"/>
        <v>0</v>
      </c>
      <c r="AF116" s="1">
        <f t="shared" si="10"/>
        <v>1.0000006617631967</v>
      </c>
      <c r="AI116" s="1">
        <f t="shared" si="11"/>
        <v>0.79642764492347939</v>
      </c>
      <c r="AK116" s="1">
        <f t="shared" si="12"/>
        <v>79.642764492347936</v>
      </c>
      <c r="AM116" s="1">
        <f t="shared" si="13"/>
        <v>238.21365251948541</v>
      </c>
      <c r="AO116" s="1">
        <f t="shared" si="14"/>
        <v>238.21365251948541</v>
      </c>
      <c r="AQ116" s="1">
        <f t="shared" si="15"/>
        <v>0.23821365251948542</v>
      </c>
    </row>
    <row r="117" spans="2:43" x14ac:dyDescent="0.25">
      <c r="B117" s="1">
        <f t="shared" si="16"/>
        <v>80</v>
      </c>
      <c r="D117" s="1">
        <f t="shared" si="0"/>
        <v>0.99747374636306974</v>
      </c>
      <c r="F117" s="1">
        <f t="shared" si="1"/>
        <v>-14.006573366399106</v>
      </c>
      <c r="I117" s="1">
        <f t="shared" si="2"/>
        <v>2</v>
      </c>
      <c r="L117" s="1">
        <f t="shared" si="3"/>
        <v>1.1341177719050781</v>
      </c>
      <c r="N117" s="1">
        <f t="shared" si="4"/>
        <v>0.10873946234022996</v>
      </c>
      <c r="Q117" s="1">
        <f t="shared" si="5"/>
        <v>2.0535389563170395E-119</v>
      </c>
      <c r="S117" s="1">
        <f t="shared" si="9"/>
        <v>6.8445489852792529E-2</v>
      </c>
      <c r="V117" s="1">
        <f t="shared" si="6"/>
        <v>1.0406112877297279E+98</v>
      </c>
      <c r="Z117" s="1">
        <f t="shared" si="7"/>
        <v>0</v>
      </c>
      <c r="AC117" s="1">
        <f t="shared" si="8"/>
        <v>0</v>
      </c>
      <c r="AF117" s="1">
        <f t="shared" si="10"/>
        <v>1.0000007265744906</v>
      </c>
      <c r="AI117" s="1">
        <f t="shared" si="11"/>
        <v>0.90910505252894469</v>
      </c>
      <c r="AK117" s="1">
        <f t="shared" si="12"/>
        <v>90.910505252894467</v>
      </c>
      <c r="AM117" s="1">
        <f t="shared" si="13"/>
        <v>271.91576845332349</v>
      </c>
      <c r="AO117" s="1">
        <f t="shared" si="14"/>
        <v>271.91576845332349</v>
      </c>
      <c r="AQ117" s="1">
        <f t="shared" si="15"/>
        <v>0.27191576845332349</v>
      </c>
    </row>
    <row r="118" spans="2:43" x14ac:dyDescent="0.25">
      <c r="B118" s="1">
        <f t="shared" si="16"/>
        <v>100</v>
      </c>
      <c r="D118" s="1">
        <f t="shared" si="0"/>
        <v>0.99747374636306974</v>
      </c>
      <c r="F118" s="1">
        <f t="shared" si="1"/>
        <v>-13.703759543633023</v>
      </c>
      <c r="I118" s="1">
        <f t="shared" si="2"/>
        <v>2</v>
      </c>
      <c r="L118" s="1">
        <f t="shared" si="3"/>
        <v>1.4369315946711618</v>
      </c>
      <c r="N118" s="1">
        <f t="shared" si="4"/>
        <v>4.2140684336773364E-2</v>
      </c>
      <c r="Q118" s="1">
        <f t="shared" si="5"/>
        <v>8.7818626159250468E-124</v>
      </c>
      <c r="S118" s="1">
        <f t="shared" si="9"/>
        <v>2.4429527271021191E-2</v>
      </c>
      <c r="V118" s="1">
        <f t="shared" si="6"/>
        <v>1.0406112877297279E+98</v>
      </c>
      <c r="Z118" s="1">
        <f t="shared" si="7"/>
        <v>0</v>
      </c>
      <c r="AC118" s="1">
        <f t="shared" si="8"/>
        <v>0</v>
      </c>
      <c r="AF118" s="1">
        <f t="shared" si="10"/>
        <v>1.000000797733227</v>
      </c>
      <c r="AI118" s="1">
        <f t="shared" si="11"/>
        <v>0.96427271745925847</v>
      </c>
      <c r="AK118" s="1">
        <f t="shared" si="12"/>
        <v>96.42727174592585</v>
      </c>
      <c r="AM118" s="1">
        <f t="shared" si="13"/>
        <v>288.41656554115411</v>
      </c>
      <c r="AO118" s="1">
        <f t="shared" si="14"/>
        <v>288.41656554115411</v>
      </c>
      <c r="AQ118" s="1">
        <f t="shared" si="15"/>
        <v>0.28841656554115414</v>
      </c>
    </row>
    <row r="119" spans="2:43" x14ac:dyDescent="0.25">
      <c r="B119" s="1">
        <f t="shared" si="16"/>
        <v>120</v>
      </c>
      <c r="D119" s="1">
        <f t="shared" si="0"/>
        <v>0.99747374636306974</v>
      </c>
      <c r="F119" s="1">
        <f t="shared" si="1"/>
        <v>-13.40094572086694</v>
      </c>
      <c r="I119" s="1">
        <f t="shared" si="2"/>
        <v>2</v>
      </c>
      <c r="L119" s="1">
        <f t="shared" si="3"/>
        <v>1.7397454174372455</v>
      </c>
      <c r="N119" s="1">
        <f t="shared" si="4"/>
        <v>1.3879323942181138E-2</v>
      </c>
      <c r="Q119" s="1">
        <f t="shared" si="5"/>
        <v>3.1272657066840473E-128</v>
      </c>
      <c r="S119" s="1">
        <f t="shared" si="9"/>
        <v>7.3941820638615497E-3</v>
      </c>
      <c r="V119" s="1">
        <f t="shared" si="6"/>
        <v>1.0406112877297279E+98</v>
      </c>
      <c r="Z119" s="1">
        <f t="shared" si="7"/>
        <v>0</v>
      </c>
      <c r="AC119" s="1">
        <f t="shared" si="8"/>
        <v>0</v>
      </c>
      <c r="AF119" s="1">
        <f t="shared" si="10"/>
        <v>1.000000875861057</v>
      </c>
      <c r="AI119" s="1">
        <f t="shared" si="11"/>
        <v>0.98686386126604975</v>
      </c>
      <c r="AK119" s="1">
        <f t="shared" si="12"/>
        <v>98.686386126604972</v>
      </c>
      <c r="AM119" s="1">
        <f t="shared" si="13"/>
        <v>295.17363746741273</v>
      </c>
      <c r="AO119" s="1">
        <f t="shared" si="14"/>
        <v>295.17363746741273</v>
      </c>
      <c r="AQ119" s="1">
        <f t="shared" si="15"/>
        <v>0.29517363746741276</v>
      </c>
    </row>
    <row r="120" spans="2:43" x14ac:dyDescent="0.25">
      <c r="B120" s="1">
        <f t="shared" si="16"/>
        <v>140</v>
      </c>
      <c r="D120" s="1">
        <f t="shared" si="0"/>
        <v>0.99747374636306974</v>
      </c>
      <c r="F120" s="1">
        <f t="shared" si="1"/>
        <v>-13.098131898100856</v>
      </c>
      <c r="I120" s="1">
        <f t="shared" si="2"/>
        <v>2</v>
      </c>
      <c r="L120" s="1">
        <f t="shared" si="3"/>
        <v>2.0425592402033295</v>
      </c>
      <c r="N120" s="1">
        <f t="shared" si="4"/>
        <v>3.869425359351625E-3</v>
      </c>
      <c r="Q120" s="1">
        <f t="shared" si="5"/>
        <v>9.273260643191187E-133</v>
      </c>
      <c r="S120" s="1">
        <f t="shared" si="9"/>
        <v>1.8912888922758E-3</v>
      </c>
      <c r="V120" s="1">
        <f t="shared" si="6"/>
        <v>1.0406112877297279E+98</v>
      </c>
      <c r="Z120" s="1">
        <f t="shared" si="7"/>
        <v>0</v>
      </c>
      <c r="AC120" s="1">
        <f t="shared" si="8"/>
        <v>0</v>
      </c>
      <c r="AF120" s="1">
        <f t="shared" si="10"/>
        <v>1.0000009616405152</v>
      </c>
      <c r="AI120" s="1">
        <f t="shared" si="11"/>
        <v>0.99460066484284804</v>
      </c>
      <c r="AK120" s="1">
        <f t="shared" si="12"/>
        <v>99.460066484284809</v>
      </c>
      <c r="AM120" s="1">
        <f t="shared" si="13"/>
        <v>297.48773624412212</v>
      </c>
      <c r="AO120" s="1">
        <f t="shared" si="14"/>
        <v>297.48773624412212</v>
      </c>
      <c r="AQ120" s="1">
        <f t="shared" si="15"/>
        <v>0.29748773624412211</v>
      </c>
    </row>
    <row r="121" spans="2:43" x14ac:dyDescent="0.25">
      <c r="B121" s="1">
        <f t="shared" si="16"/>
        <v>160</v>
      </c>
      <c r="D121" s="1">
        <f t="shared" si="0"/>
        <v>0.99747374636306974</v>
      </c>
      <c r="F121" s="1">
        <f t="shared" si="1"/>
        <v>-12.795318075334771</v>
      </c>
      <c r="I121" s="1">
        <f t="shared" si="2"/>
        <v>2</v>
      </c>
      <c r="L121" s="1">
        <f t="shared" si="3"/>
        <v>2.3453730629694132</v>
      </c>
      <c r="N121" s="1">
        <f t="shared" si="4"/>
        <v>9.1035744243346127E-4</v>
      </c>
      <c r="Q121" s="1">
        <f t="shared" si="5"/>
        <v>2.2897339974435117E-137</v>
      </c>
      <c r="S121" s="1">
        <f t="shared" si="9"/>
        <v>4.0771922758121371E-4</v>
      </c>
      <c r="V121" s="1">
        <f t="shared" si="6"/>
        <v>1.0406112877297279E+98</v>
      </c>
      <c r="Z121" s="1">
        <f t="shared" si="7"/>
        <v>0</v>
      </c>
      <c r="AC121" s="1">
        <f t="shared" si="8"/>
        <v>0</v>
      </c>
      <c r="AF121" s="1">
        <f t="shared" si="10"/>
        <v>1.0000010558209809</v>
      </c>
      <c r="AI121" s="1">
        <f t="shared" si="11"/>
        <v>0.9968163727113577</v>
      </c>
      <c r="AK121" s="1">
        <f t="shared" si="12"/>
        <v>99.68163727113577</v>
      </c>
      <c r="AM121" s="1">
        <f t="shared" si="13"/>
        <v>298.150460432111</v>
      </c>
      <c r="AO121" s="1">
        <f t="shared" si="14"/>
        <v>298.150460432111</v>
      </c>
      <c r="AQ121" s="1">
        <f t="shared" si="15"/>
        <v>0.29815046043211108</v>
      </c>
    </row>
    <row r="122" spans="2:43" x14ac:dyDescent="0.25">
      <c r="B122" s="1">
        <f t="shared" si="16"/>
        <v>180</v>
      </c>
      <c r="D122" s="1">
        <f t="shared" si="0"/>
        <v>0.99747374636306974</v>
      </c>
      <c r="F122" s="1">
        <f t="shared" si="1"/>
        <v>-12.492504252568688</v>
      </c>
      <c r="I122" s="1">
        <f t="shared" si="2"/>
        <v>2</v>
      </c>
      <c r="L122" s="1">
        <f t="shared" si="3"/>
        <v>2.6481868857354969</v>
      </c>
      <c r="N122" s="1">
        <f t="shared" si="4"/>
        <v>1.8032063655711302E-4</v>
      </c>
      <c r="Q122" s="1">
        <f t="shared" si="5"/>
        <v>4.707800557537811E-142</v>
      </c>
      <c r="S122" s="1">
        <f t="shared" si="9"/>
        <v>7.3927094755208588E-5</v>
      </c>
      <c r="V122" s="1">
        <f t="shared" si="6"/>
        <v>1.0406112877297279E+98</v>
      </c>
      <c r="Z122" s="1">
        <f t="shared" si="7"/>
        <v>0</v>
      </c>
      <c r="AC122" s="1">
        <f t="shared" si="8"/>
        <v>0</v>
      </c>
      <c r="AF122" s="1">
        <f t="shared" si="10"/>
        <v>1.000001159225226</v>
      </c>
      <c r="AI122" s="1">
        <f t="shared" si="11"/>
        <v>0.99734694360180076</v>
      </c>
      <c r="AK122" s="1">
        <f t="shared" si="12"/>
        <v>99.734694360180072</v>
      </c>
      <c r="AM122" s="1">
        <f t="shared" si="13"/>
        <v>298.3091556136992</v>
      </c>
      <c r="AO122" s="1">
        <f t="shared" si="14"/>
        <v>298.3091556136992</v>
      </c>
      <c r="AQ122" s="1">
        <f t="shared" si="15"/>
        <v>0.2983091556136992</v>
      </c>
    </row>
    <row r="123" spans="2:43" x14ac:dyDescent="0.25">
      <c r="B123" s="1">
        <f t="shared" si="16"/>
        <v>200</v>
      </c>
      <c r="D123" s="1">
        <f t="shared" si="0"/>
        <v>0.99747374636306974</v>
      </c>
      <c r="F123" s="1">
        <f t="shared" si="1"/>
        <v>-12.189690429802605</v>
      </c>
      <c r="I123" s="1">
        <f t="shared" si="2"/>
        <v>2</v>
      </c>
      <c r="L123" s="1">
        <f t="shared" si="3"/>
        <v>2.9510007085015806</v>
      </c>
      <c r="N123" s="1">
        <f t="shared" si="4"/>
        <v>3.0015959493167501E-5</v>
      </c>
      <c r="Q123" s="1">
        <f t="shared" si="5"/>
        <v>8.0598569277049166E-147</v>
      </c>
      <c r="S123" s="1">
        <f t="shared" si="9"/>
        <v>1.1255938657321798E-5</v>
      </c>
      <c r="V123" s="1">
        <f t="shared" si="6"/>
        <v>1.0406112877297279E+98</v>
      </c>
      <c r="Z123" s="1">
        <f t="shared" si="7"/>
        <v>0</v>
      </c>
      <c r="AC123" s="1">
        <f t="shared" si="8"/>
        <v>0</v>
      </c>
      <c r="AF123" s="1">
        <f t="shared" si="10"/>
        <v>1.0000012727566028</v>
      </c>
      <c r="AI123" s="1">
        <f t="shared" si="11"/>
        <v>0.99745316253849092</v>
      </c>
      <c r="AK123" s="1">
        <f t="shared" si="12"/>
        <v>99.745316253849097</v>
      </c>
      <c r="AM123" s="1">
        <f t="shared" si="13"/>
        <v>298.34092598359655</v>
      </c>
      <c r="AO123" s="1">
        <f t="shared" si="14"/>
        <v>298.34092598359655</v>
      </c>
      <c r="AQ123" s="1">
        <f t="shared" si="15"/>
        <v>0.29834092598359657</v>
      </c>
    </row>
    <row r="124" spans="2:43" x14ac:dyDescent="0.25">
      <c r="B124" s="1">
        <f t="shared" si="16"/>
        <v>220</v>
      </c>
      <c r="D124" s="1">
        <f t="shared" si="0"/>
        <v>0.99747374636306974</v>
      </c>
      <c r="F124" s="1">
        <f t="shared" si="1"/>
        <v>-11.886876607036521</v>
      </c>
      <c r="I124" s="1">
        <f t="shared" si="2"/>
        <v>2</v>
      </c>
      <c r="L124" s="1">
        <f t="shared" si="3"/>
        <v>3.2538145312676643</v>
      </c>
      <c r="N124" s="1">
        <f t="shared" si="4"/>
        <v>4.1928065434784784E-6</v>
      </c>
      <c r="Q124" s="1">
        <f t="shared" si="5"/>
        <v>1.1489704595234837E-151</v>
      </c>
      <c r="S124" s="1">
        <f t="shared" si="9"/>
        <v>1.4372634796849258E-6</v>
      </c>
      <c r="V124" s="1">
        <f t="shared" si="6"/>
        <v>1.0406112877297279E+98</v>
      </c>
      <c r="Z124" s="1">
        <f t="shared" si="7"/>
        <v>0</v>
      </c>
      <c r="AC124" s="1">
        <f t="shared" si="8"/>
        <v>0</v>
      </c>
      <c r="AF124" s="1">
        <f t="shared" si="10"/>
        <v>1.0000013974069351</v>
      </c>
      <c r="AI124" s="1">
        <f t="shared" si="11"/>
        <v>0.99747093843854884</v>
      </c>
      <c r="AK124" s="1">
        <f t="shared" si="12"/>
        <v>99.747093843854884</v>
      </c>
      <c r="AM124" s="1">
        <f t="shared" si="13"/>
        <v>298.34624280315523</v>
      </c>
      <c r="AO124" s="1">
        <f t="shared" si="14"/>
        <v>298.34624280315523</v>
      </c>
      <c r="AQ124" s="1">
        <f t="shared" si="15"/>
        <v>0.29834624280315525</v>
      </c>
    </row>
    <row r="125" spans="2:43" x14ac:dyDescent="0.25">
      <c r="B125" s="1">
        <f t="shared" si="16"/>
        <v>240</v>
      </c>
      <c r="D125" s="1">
        <f t="shared" si="0"/>
        <v>0.99747374636306974</v>
      </c>
      <c r="F125" s="1">
        <f t="shared" si="1"/>
        <v>-11.584062784270436</v>
      </c>
      <c r="I125" s="1">
        <f t="shared" si="2"/>
        <v>2</v>
      </c>
      <c r="L125" s="1">
        <f t="shared" si="3"/>
        <v>3.556628354033748</v>
      </c>
      <c r="N125" s="1">
        <f t="shared" si="4"/>
        <v>4.909096406797043E-7</v>
      </c>
      <c r="Q125" s="1">
        <f t="shared" si="5"/>
        <v>1.3638256046259504E-156</v>
      </c>
      <c r="S125" s="1">
        <f t="shared" si="9"/>
        <v>1.5375103229714238E-7</v>
      </c>
      <c r="V125" s="1">
        <f t="shared" si="6"/>
        <v>1.0406112877297279E+98</v>
      </c>
      <c r="Z125" s="1">
        <f t="shared" si="7"/>
        <v>0</v>
      </c>
      <c r="AC125" s="1">
        <f t="shared" si="8"/>
        <v>0</v>
      </c>
      <c r="AF125" s="1">
        <f t="shared" si="10"/>
        <v>1.0000015342651827</v>
      </c>
      <c r="AI125" s="1">
        <f t="shared" si="11"/>
        <v>0.99747342484690382</v>
      </c>
      <c r="AK125" s="1">
        <f t="shared" si="12"/>
        <v>99.747342484690378</v>
      </c>
      <c r="AM125" s="1">
        <f t="shared" si="13"/>
        <v>298.34698649458744</v>
      </c>
      <c r="AO125" s="1">
        <f t="shared" si="14"/>
        <v>298.34698649458744</v>
      </c>
      <c r="AQ125" s="1">
        <f t="shared" si="15"/>
        <v>0.29834698649458746</v>
      </c>
    </row>
    <row r="126" spans="2:43" x14ac:dyDescent="0.25">
      <c r="B126" s="1">
        <f t="shared" si="16"/>
        <v>260</v>
      </c>
      <c r="D126" s="1">
        <f t="shared" si="0"/>
        <v>0.99747374636306974</v>
      </c>
      <c r="F126" s="1">
        <f t="shared" si="1"/>
        <v>-11.281248961504353</v>
      </c>
      <c r="I126" s="1">
        <f t="shared" si="2"/>
        <v>2</v>
      </c>
      <c r="L126" s="1">
        <f t="shared" si="3"/>
        <v>3.8594421767998317</v>
      </c>
      <c r="N126" s="1">
        <f t="shared" si="4"/>
        <v>4.8132308111035997E-8</v>
      </c>
      <c r="Q126" s="1">
        <f t="shared" si="5"/>
        <v>1.3479495419577973E-161</v>
      </c>
      <c r="S126" s="1">
        <f t="shared" si="9"/>
        <v>1.3767685229393383E-8</v>
      </c>
      <c r="V126" s="1">
        <f t="shared" si="6"/>
        <v>1.0406112877297279E+98</v>
      </c>
      <c r="Z126" s="1">
        <f t="shared" si="7"/>
        <v>0</v>
      </c>
      <c r="AC126" s="1">
        <f t="shared" si="8"/>
        <v>0</v>
      </c>
      <c r="AF126" s="1">
        <f t="shared" si="10"/>
        <v>1.0000016845269564</v>
      </c>
      <c r="AI126" s="1">
        <f t="shared" si="11"/>
        <v>0.99747371549124897</v>
      </c>
      <c r="AK126" s="1">
        <f t="shared" si="12"/>
        <v>99.747371549124892</v>
      </c>
      <c r="AM126" s="1">
        <f t="shared" si="13"/>
        <v>298.34707342709345</v>
      </c>
      <c r="AO126" s="1">
        <f t="shared" si="14"/>
        <v>298.34707342709345</v>
      </c>
      <c r="AQ126" s="1">
        <f t="shared" si="15"/>
        <v>0.29834707342709349</v>
      </c>
    </row>
    <row r="127" spans="2:43" x14ac:dyDescent="0.25">
      <c r="B127" s="1">
        <f t="shared" si="16"/>
        <v>280</v>
      </c>
      <c r="D127" s="1">
        <f t="shared" si="0"/>
        <v>0.99747374636306974</v>
      </c>
      <c r="F127" s="1">
        <f t="shared" si="1"/>
        <v>-10.97843513873827</v>
      </c>
      <c r="I127" s="1">
        <f t="shared" si="2"/>
        <v>2</v>
      </c>
      <c r="L127" s="1">
        <f t="shared" si="3"/>
        <v>4.1622559995659154</v>
      </c>
      <c r="N127" s="1">
        <f t="shared" si="4"/>
        <v>3.9489205566594953E-9</v>
      </c>
      <c r="Q127" s="1">
        <f t="shared" si="5"/>
        <v>1.1093019894641495E-166</v>
      </c>
      <c r="S127" s="1">
        <f t="shared" si="9"/>
        <v>1.0312509818416822E-9</v>
      </c>
      <c r="V127" s="1">
        <f t="shared" si="6"/>
        <v>1.0406112877297279E+98</v>
      </c>
      <c r="Z127" s="1">
        <f t="shared" si="7"/>
        <v>0</v>
      </c>
      <c r="AC127" s="1">
        <f t="shared" si="8"/>
        <v>0</v>
      </c>
      <c r="AF127" s="1">
        <f t="shared" si="10"/>
        <v>1.0000018495049607</v>
      </c>
      <c r="AI127" s="1">
        <f t="shared" si="11"/>
        <v>0.99747374387927368</v>
      </c>
      <c r="AK127" s="1">
        <f t="shared" si="12"/>
        <v>99.747374387927366</v>
      </c>
      <c r="AM127" s="1">
        <f t="shared" si="13"/>
        <v>298.3470819180281</v>
      </c>
      <c r="AO127" s="1">
        <f t="shared" si="14"/>
        <v>298.3470819180281</v>
      </c>
      <c r="AQ127" s="1">
        <f t="shared" si="15"/>
        <v>0.29834708191802811</v>
      </c>
    </row>
    <row r="128" spans="2:43" x14ac:dyDescent="0.25">
      <c r="B128" s="1">
        <f t="shared" si="16"/>
        <v>300</v>
      </c>
      <c r="D128" s="1">
        <f t="shared" si="0"/>
        <v>0.99747374636306974</v>
      </c>
      <c r="F128" s="1">
        <f t="shared" si="1"/>
        <v>-10.675621315972187</v>
      </c>
      <c r="I128" s="1">
        <f t="shared" si="2"/>
        <v>2</v>
      </c>
      <c r="L128" s="1">
        <f t="shared" si="3"/>
        <v>4.4650698223319987</v>
      </c>
      <c r="N128" s="1">
        <f t="shared" si="4"/>
        <v>2.7092716726952583E-10</v>
      </c>
      <c r="Q128" s="1">
        <f t="shared" si="5"/>
        <v>7.6012323666396918E-172</v>
      </c>
      <c r="S128" s="1">
        <f t="shared" si="9"/>
        <v>6.457713036545643E-11</v>
      </c>
      <c r="V128" s="1">
        <f t="shared" si="6"/>
        <v>1.0406112877297279E+98</v>
      </c>
      <c r="Z128" s="1">
        <f t="shared" si="7"/>
        <v>0</v>
      </c>
      <c r="AC128" s="1">
        <f t="shared" si="8"/>
        <v>0</v>
      </c>
      <c r="AF128" s="1">
        <f t="shared" si="10"/>
        <v>1.000002030640464</v>
      </c>
      <c r="AI128" s="1">
        <f t="shared" si="11"/>
        <v>0.99747374619574136</v>
      </c>
      <c r="AK128" s="1">
        <f t="shared" si="12"/>
        <v>99.747374619574131</v>
      </c>
      <c r="AM128" s="1">
        <f t="shared" si="13"/>
        <v>298.3470826108898</v>
      </c>
      <c r="AO128" s="1">
        <f t="shared" si="14"/>
        <v>298.3470826108898</v>
      </c>
      <c r="AQ128" s="1">
        <f t="shared" si="15"/>
        <v>0.29834708261088982</v>
      </c>
    </row>
    <row r="129" spans="2:46" x14ac:dyDescent="0.25">
      <c r="B129" s="1">
        <f t="shared" si="16"/>
        <v>320</v>
      </c>
      <c r="D129" s="1">
        <f t="shared" si="0"/>
        <v>0.99747374636306974</v>
      </c>
      <c r="F129" s="1">
        <f t="shared" si="1"/>
        <v>-10.372807493206102</v>
      </c>
      <c r="I129" s="1">
        <f t="shared" si="2"/>
        <v>2</v>
      </c>
      <c r="L129" s="1">
        <f t="shared" si="3"/>
        <v>4.7678836450980828</v>
      </c>
      <c r="N129" s="1">
        <f t="shared" si="4"/>
        <v>1.5535689320451073E-11</v>
      </c>
      <c r="Q129" s="1">
        <f t="shared" si="5"/>
        <v>4.3368373627828959E-177</v>
      </c>
      <c r="S129" s="1">
        <f t="shared" si="9"/>
        <v>3.3790519389782882E-12</v>
      </c>
      <c r="V129" s="1">
        <f t="shared" si="6"/>
        <v>1.0406112877297279E+98</v>
      </c>
      <c r="Z129" s="1">
        <f t="shared" si="7"/>
        <v>0</v>
      </c>
      <c r="AC129" s="1">
        <f t="shared" si="8"/>
        <v>0</v>
      </c>
      <c r="AF129" s="1">
        <f t="shared" si="10"/>
        <v>1.0000022295158872</v>
      </c>
      <c r="AI129" s="1">
        <f t="shared" si="11"/>
        <v>0.99747374635363617</v>
      </c>
      <c r="AK129" s="1">
        <f t="shared" si="12"/>
        <v>99.747374635363613</v>
      </c>
      <c r="AM129" s="1">
        <f t="shared" si="13"/>
        <v>298.34708265811656</v>
      </c>
      <c r="AO129" s="1">
        <f t="shared" si="14"/>
        <v>298.34708265811656</v>
      </c>
      <c r="AQ129" s="1">
        <f t="shared" si="15"/>
        <v>0.2983470826581166</v>
      </c>
    </row>
    <row r="130" spans="2:46" x14ac:dyDescent="0.25">
      <c r="B130" s="1">
        <f t="shared" si="16"/>
        <v>340</v>
      </c>
      <c r="D130" s="1">
        <f t="shared" si="0"/>
        <v>0.99747374636306974</v>
      </c>
      <c r="F130" s="1">
        <f t="shared" si="1"/>
        <v>-10.069993670440018</v>
      </c>
      <c r="I130" s="1">
        <f t="shared" si="2"/>
        <v>2</v>
      </c>
      <c r="L130" s="1">
        <f t="shared" si="3"/>
        <v>5.070697467864167</v>
      </c>
      <c r="N130" s="1">
        <f t="shared" si="4"/>
        <v>7.4425186889075697E-13</v>
      </c>
      <c r="Q130" s="1">
        <f t="shared" si="5"/>
        <v>2.0602226708241977E-182</v>
      </c>
      <c r="S130" s="1">
        <f t="shared" si="9"/>
        <v>1.4768487389026468E-13</v>
      </c>
      <c r="V130" s="1">
        <f t="shared" si="6"/>
        <v>1.0406112877297279E+98</v>
      </c>
      <c r="Z130" s="1">
        <f t="shared" si="7"/>
        <v>0</v>
      </c>
      <c r="AC130" s="1">
        <f t="shared" si="8"/>
        <v>0</v>
      </c>
      <c r="AF130" s="1">
        <f t="shared" si="10"/>
        <v>1.0000024478686305</v>
      </c>
      <c r="AI130" s="1">
        <f t="shared" si="11"/>
        <v>0.99747374636262487</v>
      </c>
      <c r="AK130" s="1">
        <f t="shared" si="12"/>
        <v>99.747374636262492</v>
      </c>
      <c r="AM130" s="1">
        <f t="shared" si="13"/>
        <v>298.34708266080509</v>
      </c>
      <c r="AO130" s="1">
        <f t="shared" si="14"/>
        <v>298.34708266080509</v>
      </c>
      <c r="AQ130" s="1">
        <f t="shared" si="15"/>
        <v>0.29834708266080512</v>
      </c>
    </row>
    <row r="131" spans="2:46" x14ac:dyDescent="0.25">
      <c r="B131" s="1">
        <f t="shared" si="16"/>
        <v>360</v>
      </c>
      <c r="D131" s="1">
        <f t="shared" si="0"/>
        <v>0.99747374636306974</v>
      </c>
      <c r="F131" s="1">
        <f t="shared" si="1"/>
        <v>-9.7671798476739351</v>
      </c>
      <c r="I131" s="1">
        <f t="shared" si="2"/>
        <v>2</v>
      </c>
      <c r="L131" s="1">
        <f t="shared" si="3"/>
        <v>5.3735112906302502</v>
      </c>
      <c r="N131" s="1">
        <f t="shared" si="4"/>
        <v>2.9775398853254298E-14</v>
      </c>
      <c r="Q131" s="1">
        <f t="shared" si="5"/>
        <v>8.1489979478912497E-188</v>
      </c>
      <c r="S131" s="1">
        <f t="shared" si="9"/>
        <v>5.3895398509846219E-15</v>
      </c>
      <c r="V131" s="1">
        <f t="shared" si="6"/>
        <v>1.0406112877297279E+98</v>
      </c>
      <c r="Z131" s="1">
        <f t="shared" si="7"/>
        <v>0</v>
      </c>
      <c r="AC131" s="1">
        <f t="shared" si="8"/>
        <v>0</v>
      </c>
      <c r="AF131" s="1">
        <f t="shared" si="10"/>
        <v>1.0000026876062496</v>
      </c>
      <c r="AI131" s="1">
        <f t="shared" si="11"/>
        <v>0.99747374636305219</v>
      </c>
      <c r="AK131" s="1">
        <f t="shared" si="12"/>
        <v>99.747374636305224</v>
      </c>
      <c r="AM131" s="1">
        <f t="shared" si="13"/>
        <v>298.34708266093293</v>
      </c>
      <c r="AO131" s="1">
        <f t="shared" si="14"/>
        <v>298.34708266093293</v>
      </c>
      <c r="AQ131" s="1">
        <f t="shared" si="15"/>
        <v>0.29834708266093296</v>
      </c>
    </row>
    <row r="132" spans="2:46" x14ac:dyDescent="0.25">
      <c r="B132" s="1">
        <f t="shared" si="16"/>
        <v>380</v>
      </c>
      <c r="D132" s="1">
        <f t="shared" si="0"/>
        <v>0.99747374636306974</v>
      </c>
      <c r="F132" s="1">
        <f t="shared" si="1"/>
        <v>-9.4643660249078518</v>
      </c>
      <c r="I132" s="1">
        <f t="shared" si="2"/>
        <v>2</v>
      </c>
      <c r="L132" s="1">
        <f t="shared" si="3"/>
        <v>5.6763251133963344</v>
      </c>
      <c r="N132" s="1">
        <f t="shared" si="4"/>
        <v>9.9449824486153914E-16</v>
      </c>
      <c r="Q132" s="1">
        <f t="shared" si="5"/>
        <v>2.6837405077618897E-193</v>
      </c>
      <c r="S132" s="1">
        <f t="shared" si="9"/>
        <v>1.6417717885022118E-16</v>
      </c>
      <c r="V132" s="1">
        <f t="shared" si="6"/>
        <v>1.0406112877297279E+98</v>
      </c>
      <c r="Z132" s="1">
        <f t="shared" si="7"/>
        <v>0</v>
      </c>
      <c r="AC132" s="1">
        <f t="shared" si="8"/>
        <v>0</v>
      </c>
      <c r="AF132" s="1">
        <f t="shared" si="10"/>
        <v>1.0000029508231214</v>
      </c>
      <c r="AI132" s="1">
        <f t="shared" si="11"/>
        <v>0.99747374636306918</v>
      </c>
      <c r="AK132" s="1">
        <f t="shared" si="12"/>
        <v>99.747374636306915</v>
      </c>
      <c r="AM132" s="1">
        <f t="shared" si="13"/>
        <v>298.34708266093799</v>
      </c>
      <c r="AO132" s="1">
        <f t="shared" si="14"/>
        <v>298.34708266093799</v>
      </c>
      <c r="AQ132" s="1">
        <f t="shared" si="15"/>
        <v>0.29834708266093801</v>
      </c>
    </row>
    <row r="133" spans="2:46" x14ac:dyDescent="0.25">
      <c r="B133" s="1">
        <f t="shared" si="16"/>
        <v>400</v>
      </c>
      <c r="D133" s="1">
        <f t="shared" si="0"/>
        <v>0.99747374636306974</v>
      </c>
      <c r="F133" s="1">
        <f t="shared" si="1"/>
        <v>-9.1615522021417668</v>
      </c>
      <c r="I133" s="1">
        <f t="shared" si="2"/>
        <v>2</v>
      </c>
      <c r="L133" s="1">
        <f t="shared" si="3"/>
        <v>5.9791389361624177</v>
      </c>
      <c r="N133" s="1">
        <f t="shared" si="4"/>
        <v>2.7722934971113607E-17</v>
      </c>
      <c r="Q133" s="1">
        <f t="shared" si="5"/>
        <v>7.3590281445074816E-199</v>
      </c>
      <c r="S133" s="1">
        <f t="shared" si="9"/>
        <v>4.1735714376673497E-18</v>
      </c>
      <c r="V133" s="1">
        <f t="shared" si="6"/>
        <v>1.0406112877297279E+98</v>
      </c>
      <c r="Z133" s="1">
        <f t="shared" si="7"/>
        <v>0</v>
      </c>
      <c r="AC133" s="1">
        <f t="shared" si="8"/>
        <v>0</v>
      </c>
      <c r="AF133" s="1">
        <f t="shared" si="10"/>
        <v>1.0000032398187402</v>
      </c>
      <c r="AI133" s="1">
        <f t="shared" si="11"/>
        <v>0.99747374636306974</v>
      </c>
      <c r="AK133" s="1">
        <f t="shared" si="12"/>
        <v>99.747374636306972</v>
      </c>
      <c r="AM133" s="1">
        <f t="shared" si="13"/>
        <v>298.34708266093816</v>
      </c>
      <c r="AO133" s="1">
        <f t="shared" si="14"/>
        <v>298.34708266093816</v>
      </c>
      <c r="AQ133" s="1">
        <f t="shared" si="15"/>
        <v>0.29834708266093818</v>
      </c>
    </row>
    <row r="134" spans="2:46" x14ac:dyDescent="0.25">
      <c r="B134" s="1">
        <f t="shared" si="16"/>
        <v>420</v>
      </c>
      <c r="D134" s="1">
        <f t="shared" si="0"/>
        <v>0.99747374636306974</v>
      </c>
      <c r="F134" s="1">
        <f t="shared" si="1"/>
        <v>-8.8587383793756835</v>
      </c>
      <c r="I134" s="1">
        <f t="shared" si="2"/>
        <v>2</v>
      </c>
      <c r="L134" s="1">
        <f t="shared" si="3"/>
        <v>6.2819527589285018</v>
      </c>
      <c r="N134" s="1">
        <f t="shared" si="4"/>
        <v>6.4485070820049548E-19</v>
      </c>
      <c r="Q134" s="1">
        <f t="shared" si="5"/>
        <v>1.6801246746916282E-204</v>
      </c>
      <c r="S134" s="1">
        <f t="shared" si="9"/>
        <v>8.8519719365033647E-20</v>
      </c>
      <c r="V134" s="1">
        <f t="shared" si="6"/>
        <v>1.0406112877297279E+98</v>
      </c>
      <c r="Z134" s="1">
        <f t="shared" si="7"/>
        <v>0</v>
      </c>
      <c r="AC134" s="1">
        <f t="shared" si="8"/>
        <v>0</v>
      </c>
      <c r="AF134" s="1">
        <f t="shared" si="10"/>
        <v>1.0000035571178068</v>
      </c>
      <c r="AI134" s="1">
        <f t="shared" si="11"/>
        <v>0.99747374636306974</v>
      </c>
      <c r="AK134" s="1">
        <f t="shared" si="12"/>
        <v>99.747374636306972</v>
      </c>
      <c r="AM134" s="1">
        <f t="shared" si="13"/>
        <v>298.34708266093816</v>
      </c>
      <c r="AO134" s="1">
        <f t="shared" si="14"/>
        <v>298.34708266093816</v>
      </c>
      <c r="AQ134" s="1">
        <f t="shared" si="15"/>
        <v>0.29834708266093818</v>
      </c>
    </row>
    <row r="135" spans="2:46" x14ac:dyDescent="0.25">
      <c r="B135" s="1">
        <f t="shared" si="16"/>
        <v>440</v>
      </c>
      <c r="D135" s="1">
        <f t="shared" si="0"/>
        <v>0.99747374636306974</v>
      </c>
      <c r="F135" s="1">
        <f t="shared" si="1"/>
        <v>-8.5559245566096003</v>
      </c>
      <c r="I135" s="1">
        <f t="shared" si="2"/>
        <v>2</v>
      </c>
      <c r="L135" s="1">
        <f t="shared" si="3"/>
        <v>6.5847665816945851</v>
      </c>
      <c r="N135" s="1">
        <f t="shared" si="4"/>
        <v>1.2513343316037206E-20</v>
      </c>
      <c r="Q135" s="1">
        <f t="shared" si="5"/>
        <v>3.1937523608715384E-210</v>
      </c>
      <c r="S135" s="1">
        <f t="shared" si="9"/>
        <v>1.56611875429141E-21</v>
      </c>
      <c r="V135" s="1">
        <f t="shared" si="6"/>
        <v>1.0406112877297279E+98</v>
      </c>
      <c r="Z135" s="1">
        <f t="shared" si="7"/>
        <v>0</v>
      </c>
      <c r="AC135" s="1">
        <f t="shared" si="8"/>
        <v>0</v>
      </c>
      <c r="AF135" s="1">
        <f t="shared" si="10"/>
        <v>1.0000039054922836</v>
      </c>
      <c r="AI135" s="1">
        <f t="shared" si="11"/>
        <v>0.99747374636306974</v>
      </c>
      <c r="AK135" s="1">
        <f t="shared" si="12"/>
        <v>99.747374636306972</v>
      </c>
      <c r="AM135" s="1">
        <f t="shared" si="13"/>
        <v>298.34708266093816</v>
      </c>
      <c r="AO135" s="1">
        <f t="shared" si="14"/>
        <v>298.34708266093816</v>
      </c>
      <c r="AQ135" s="1">
        <f t="shared" si="15"/>
        <v>0.29834708266093818</v>
      </c>
    </row>
    <row r="136" spans="2:46" x14ac:dyDescent="0.25">
      <c r="B136" s="1">
        <f t="shared" si="16"/>
        <v>460</v>
      </c>
      <c r="D136" s="1">
        <f t="shared" si="0"/>
        <v>0.99747374636306974</v>
      </c>
      <c r="F136" s="1">
        <f t="shared" si="1"/>
        <v>-8.253110733843517</v>
      </c>
      <c r="I136" s="1">
        <f t="shared" si="2"/>
        <v>2</v>
      </c>
      <c r="L136" s="1">
        <f t="shared" si="3"/>
        <v>6.8875804044606692</v>
      </c>
      <c r="N136" s="1">
        <f t="shared" si="4"/>
        <v>2.0253606838218975E-22</v>
      </c>
      <c r="Q136" s="1">
        <f t="shared" si="5"/>
        <v>5.0547226045622647E-216</v>
      </c>
      <c r="S136" s="1">
        <f t="shared" si="9"/>
        <v>2.3109337250132158E-23</v>
      </c>
      <c r="V136" s="1">
        <f t="shared" si="6"/>
        <v>1.0406112877297279E+98</v>
      </c>
      <c r="Z136" s="1">
        <f t="shared" si="7"/>
        <v>0</v>
      </c>
      <c r="AC136" s="1">
        <f t="shared" si="8"/>
        <v>0</v>
      </c>
      <c r="AF136" s="1">
        <f t="shared" si="10"/>
        <v>1.0000042879856128</v>
      </c>
      <c r="AI136" s="1">
        <f t="shared" si="11"/>
        <v>0.99747374636306974</v>
      </c>
      <c r="AK136" s="1">
        <f t="shared" si="12"/>
        <v>99.747374636306972</v>
      </c>
      <c r="AM136" s="1">
        <f t="shared" si="13"/>
        <v>298.34708266093816</v>
      </c>
      <c r="AO136" s="1">
        <f t="shared" si="14"/>
        <v>298.34708266093816</v>
      </c>
      <c r="AQ136" s="1">
        <f t="shared" si="15"/>
        <v>0.29834708266093818</v>
      </c>
    </row>
    <row r="137" spans="2:46" x14ac:dyDescent="0.25">
      <c r="B137" s="1">
        <f t="shared" si="16"/>
        <v>480</v>
      </c>
      <c r="D137" s="1">
        <f t="shared" si="0"/>
        <v>0.99747374636306974</v>
      </c>
      <c r="F137" s="1">
        <f t="shared" si="1"/>
        <v>-7.9502969110774329</v>
      </c>
      <c r="I137" s="1">
        <f t="shared" si="2"/>
        <v>2</v>
      </c>
      <c r="L137" s="1">
        <f t="shared" si="3"/>
        <v>7.1903942272267525</v>
      </c>
      <c r="N137" s="1">
        <f t="shared" si="4"/>
        <v>2.7338603681185703E-24</v>
      </c>
      <c r="Q137" s="1">
        <f t="shared" si="5"/>
        <v>6.6608176972468909E-222</v>
      </c>
      <c r="S137" s="1">
        <f t="shared" si="9"/>
        <v>2.8435625842361948E-25</v>
      </c>
      <c r="V137" s="1">
        <f t="shared" si="6"/>
        <v>1.0406112877297279E+98</v>
      </c>
      <c r="Z137" s="1">
        <f t="shared" si="7"/>
        <v>0</v>
      </c>
      <c r="AC137" s="1">
        <f t="shared" si="8"/>
        <v>0</v>
      </c>
      <c r="AF137" s="1">
        <f t="shared" si="10"/>
        <v>1.0000047079393017</v>
      </c>
      <c r="AI137" s="1">
        <f t="shared" si="11"/>
        <v>0.99747374636306974</v>
      </c>
      <c r="AK137" s="1">
        <f t="shared" si="12"/>
        <v>99.747374636306972</v>
      </c>
      <c r="AM137" s="1">
        <f t="shared" si="13"/>
        <v>298.34708266093816</v>
      </c>
      <c r="AO137" s="1">
        <f t="shared" si="14"/>
        <v>298.34708266093816</v>
      </c>
      <c r="AQ137" s="1">
        <f t="shared" si="15"/>
        <v>0.29834708266093818</v>
      </c>
    </row>
    <row r="138" spans="2:46" x14ac:dyDescent="0.25">
      <c r="B138" s="1">
        <f t="shared" si="16"/>
        <v>500</v>
      </c>
      <c r="D138" s="1">
        <f t="shared" si="0"/>
        <v>0.99747374636306974</v>
      </c>
      <c r="F138" s="1">
        <f t="shared" si="1"/>
        <v>-7.6474830883113496</v>
      </c>
      <c r="I138" s="1">
        <f t="shared" si="2"/>
        <v>2</v>
      </c>
      <c r="L138" s="1">
        <f t="shared" si="3"/>
        <v>7.4932080499928366</v>
      </c>
      <c r="N138" s="1">
        <f t="shared" si="4"/>
        <v>3.0770416106491312E-26</v>
      </c>
      <c r="Q138" s="1">
        <f t="shared" si="5"/>
        <v>7.3078522719255567E-228</v>
      </c>
      <c r="S138" s="1">
        <f t="shared" si="9"/>
        <v>2.9173757835771237E-27</v>
      </c>
      <c r="V138" s="1">
        <f t="shared" si="6"/>
        <v>1.0406112877297279E+98</v>
      </c>
      <c r="Z138" s="1">
        <f t="shared" si="7"/>
        <v>0</v>
      </c>
      <c r="AC138" s="1">
        <f t="shared" si="8"/>
        <v>0</v>
      </c>
      <c r="AF138" s="1">
        <f t="shared" si="10"/>
        <v>1.000005169022117</v>
      </c>
      <c r="AI138" s="1">
        <f t="shared" si="11"/>
        <v>0.99747374636306974</v>
      </c>
      <c r="AK138" s="1">
        <f t="shared" si="12"/>
        <v>99.747374636306972</v>
      </c>
      <c r="AM138" s="1">
        <f t="shared" si="13"/>
        <v>298.34708266093816</v>
      </c>
      <c r="AO138" s="1">
        <f t="shared" si="14"/>
        <v>298.34708266093816</v>
      </c>
      <c r="AQ138" s="1">
        <f t="shared" si="15"/>
        <v>0.29834708266093818</v>
      </c>
    </row>
    <row r="139" spans="2:46" x14ac:dyDescent="0.25">
      <c r="B139" s="1">
        <f t="shared" si="16"/>
        <v>520</v>
      </c>
      <c r="D139" s="1">
        <f t="shared" si="0"/>
        <v>0.99747374636306974</v>
      </c>
      <c r="F139" s="1">
        <f t="shared" si="1"/>
        <v>-7.3446692655452663</v>
      </c>
      <c r="I139" s="1">
        <f t="shared" si="2"/>
        <v>2</v>
      </c>
      <c r="L139" s="1">
        <f t="shared" si="3"/>
        <v>7.7960218727589208</v>
      </c>
      <c r="N139" s="1">
        <f t="shared" si="4"/>
        <v>2.8874768852255929E-28</v>
      </c>
      <c r="Q139" s="1">
        <f t="shared" si="5"/>
        <v>6.6754709104026152E-234</v>
      </c>
      <c r="S139" s="1">
        <f t="shared" si="9"/>
        <v>2.4953092579102839E-29</v>
      </c>
      <c r="V139" s="1">
        <f t="shared" si="6"/>
        <v>1.0406112877297279E+98</v>
      </c>
      <c r="Z139" s="1">
        <f t="shared" si="7"/>
        <v>0</v>
      </c>
      <c r="AC139" s="1">
        <f t="shared" si="8"/>
        <v>0</v>
      </c>
      <c r="AF139" s="1">
        <f t="shared" si="10"/>
        <v>1.0000056752621334</v>
      </c>
      <c r="AI139" s="1">
        <f t="shared" si="11"/>
        <v>0.99747374636306974</v>
      </c>
      <c r="AK139" s="1">
        <f t="shared" si="12"/>
        <v>99.747374636306972</v>
      </c>
      <c r="AM139" s="1">
        <f t="shared" si="13"/>
        <v>298.34708266093816</v>
      </c>
      <c r="AO139" s="1">
        <f t="shared" si="14"/>
        <v>298.34708266093816</v>
      </c>
      <c r="AQ139" s="1">
        <f t="shared" si="15"/>
        <v>0.29834708266093818</v>
      </c>
      <c r="AT139" s="9"/>
    </row>
    <row r="140" spans="2:46" x14ac:dyDescent="0.25">
      <c r="B140" s="1">
        <f t="shared" si="16"/>
        <v>540</v>
      </c>
      <c r="D140" s="1">
        <f t="shared" si="0"/>
        <v>0.99747374636306974</v>
      </c>
      <c r="F140" s="1">
        <f t="shared" si="1"/>
        <v>-7.0418554427791822</v>
      </c>
      <c r="I140" s="1">
        <f t="shared" si="2"/>
        <v>2</v>
      </c>
      <c r="L140" s="1">
        <f t="shared" si="3"/>
        <v>8.098835695525004</v>
      </c>
      <c r="N140" s="1">
        <f t="shared" si="4"/>
        <v>2.2588255788178081E-30</v>
      </c>
      <c r="Q140" s="1">
        <f t="shared" si="5"/>
        <v>5.0769398273697367E-240</v>
      </c>
      <c r="S140" s="1">
        <f t="shared" si="9"/>
        <v>1.779149407434104E-31</v>
      </c>
      <c r="V140" s="1">
        <f t="shared" si="6"/>
        <v>1.0406112877297279E+98</v>
      </c>
      <c r="Z140" s="1">
        <f t="shared" si="7"/>
        <v>0</v>
      </c>
      <c r="AC140" s="1">
        <f t="shared" si="8"/>
        <v>0</v>
      </c>
      <c r="AF140" s="1">
        <f t="shared" si="10"/>
        <v>1.0000062310819249</v>
      </c>
      <c r="AI140" s="1">
        <f t="shared" si="11"/>
        <v>0.99747374636306974</v>
      </c>
      <c r="AK140" s="1">
        <f t="shared" si="12"/>
        <v>99.747374636306972</v>
      </c>
      <c r="AM140" s="1">
        <f t="shared" si="13"/>
        <v>298.34708266093816</v>
      </c>
      <c r="AO140" s="1">
        <f t="shared" si="14"/>
        <v>298.34708266093816</v>
      </c>
      <c r="AQ140" s="1">
        <f t="shared" si="15"/>
        <v>0.29834708266093818</v>
      </c>
    </row>
    <row r="141" spans="2:46" x14ac:dyDescent="0.25">
      <c r="B141" s="1">
        <f t="shared" si="16"/>
        <v>560</v>
      </c>
      <c r="D141" s="1">
        <f t="shared" si="0"/>
        <v>0.99747374636306974</v>
      </c>
      <c r="F141" s="1">
        <f t="shared" si="1"/>
        <v>-6.7390416200130989</v>
      </c>
      <c r="I141" s="1">
        <f t="shared" si="2"/>
        <v>2</v>
      </c>
      <c r="L141" s="1">
        <f t="shared" si="3"/>
        <v>8.4016495182910891</v>
      </c>
      <c r="N141" s="1">
        <f t="shared" si="4"/>
        <v>1.4729294229845846E-32</v>
      </c>
      <c r="Q141" s="1">
        <f t="shared" si="5"/>
        <v>3.2147572499702691E-246</v>
      </c>
      <c r="S141" s="1">
        <f t="shared" si="9"/>
        <v>1.0573404786414666E-33</v>
      </c>
      <c r="V141" s="1">
        <f t="shared" si="6"/>
        <v>1.0406112877297279E+98</v>
      </c>
      <c r="Z141" s="1">
        <f t="shared" si="7"/>
        <v>0</v>
      </c>
      <c r="AC141" s="1">
        <f t="shared" si="8"/>
        <v>0</v>
      </c>
      <c r="AF141" s="1">
        <f t="shared" si="10"/>
        <v>1.0000068413372003</v>
      </c>
      <c r="AI141" s="1">
        <f t="shared" si="11"/>
        <v>0.99747374636306974</v>
      </c>
      <c r="AK141" s="1">
        <f t="shared" si="12"/>
        <v>99.747374636306972</v>
      </c>
      <c r="AM141" s="1">
        <f t="shared" si="13"/>
        <v>298.34708266093816</v>
      </c>
      <c r="AO141" s="1">
        <f t="shared" si="14"/>
        <v>298.34708266093816</v>
      </c>
      <c r="AQ141" s="1">
        <f t="shared" si="15"/>
        <v>0.29834708266093818</v>
      </c>
    </row>
    <row r="142" spans="2:46" x14ac:dyDescent="0.25">
      <c r="B142" s="1">
        <f t="shared" si="16"/>
        <v>580</v>
      </c>
      <c r="D142" s="1">
        <f t="shared" si="0"/>
        <v>0.99747374636306974</v>
      </c>
      <c r="F142" s="1">
        <f t="shared" si="1"/>
        <v>-6.4362277972470148</v>
      </c>
      <c r="I142" s="1">
        <f t="shared" si="2"/>
        <v>2</v>
      </c>
      <c r="L142" s="1">
        <f t="shared" si="3"/>
        <v>8.7044633410571723</v>
      </c>
      <c r="N142" s="1">
        <f t="shared" si="4"/>
        <v>8.0052830023366141E-35</v>
      </c>
      <c r="Q142" s="1">
        <f t="shared" si="5"/>
        <v>1.6948005031674528E-252</v>
      </c>
      <c r="S142" s="1">
        <f t="shared" si="9"/>
        <v>5.2371398972062371E-36</v>
      </c>
      <c r="V142" s="1">
        <f t="shared" si="6"/>
        <v>1.0406112877297279E+98</v>
      </c>
      <c r="Z142" s="1">
        <f t="shared" si="7"/>
        <v>0</v>
      </c>
      <c r="AC142" s="1">
        <f t="shared" si="8"/>
        <v>0</v>
      </c>
      <c r="AF142" s="1">
        <f t="shared" si="10"/>
        <v>1.0000075113592233</v>
      </c>
      <c r="AI142" s="1">
        <f t="shared" si="11"/>
        <v>0.99747374636306974</v>
      </c>
      <c r="AK142" s="1">
        <f t="shared" si="12"/>
        <v>99.747374636306972</v>
      </c>
      <c r="AM142" s="1">
        <f t="shared" si="13"/>
        <v>298.34708266093816</v>
      </c>
      <c r="AO142" s="1">
        <f t="shared" si="14"/>
        <v>298.34708266093816</v>
      </c>
      <c r="AQ142" s="1">
        <f t="shared" si="15"/>
        <v>0.29834708266093818</v>
      </c>
    </row>
    <row r="143" spans="2:46" x14ac:dyDescent="0.25">
      <c r="B143" s="1">
        <f t="shared" si="16"/>
        <v>600</v>
      </c>
      <c r="D143" s="1">
        <f t="shared" si="0"/>
        <v>0.99747374636306974</v>
      </c>
      <c r="F143" s="1">
        <f t="shared" si="1"/>
        <v>-6.1334139744809306</v>
      </c>
      <c r="I143" s="1">
        <f t="shared" si="2"/>
        <v>2</v>
      </c>
      <c r="L143" s="1">
        <f t="shared" si="3"/>
        <v>9.0072771638232556</v>
      </c>
      <c r="N143" s="1">
        <f t="shared" si="4"/>
        <v>3.6260289067002232E-37</v>
      </c>
      <c r="Q143" s="1">
        <f t="shared" si="5"/>
        <v>7.4389468467807401E-259</v>
      </c>
      <c r="S143" s="1">
        <f t="shared" si="9"/>
        <v>2.1618046854267829E-38</v>
      </c>
      <c r="V143" s="1">
        <f t="shared" si="6"/>
        <v>1.0406112877297279E+98</v>
      </c>
      <c r="Z143" s="1">
        <f t="shared" si="7"/>
        <v>0</v>
      </c>
      <c r="AC143" s="1">
        <f t="shared" si="8"/>
        <v>0</v>
      </c>
      <c r="AF143" s="1">
        <f t="shared" si="10"/>
        <v>1.0000082470013874</v>
      </c>
      <c r="AI143" s="1">
        <f t="shared" si="11"/>
        <v>0.99747374636306974</v>
      </c>
      <c r="AK143" s="1">
        <f t="shared" si="12"/>
        <v>99.747374636306972</v>
      </c>
      <c r="AM143" s="1">
        <f t="shared" si="13"/>
        <v>298.34708266093816</v>
      </c>
      <c r="AO143" s="1">
        <f t="shared" si="14"/>
        <v>298.34708266093816</v>
      </c>
      <c r="AQ143" s="1">
        <f t="shared" si="15"/>
        <v>0.29834708266093818</v>
      </c>
    </row>
    <row r="144" spans="2:46" x14ac:dyDescent="0.25">
      <c r="B144" s="1">
        <f t="shared" si="16"/>
        <v>620</v>
      </c>
      <c r="D144" s="1">
        <f t="shared" si="0"/>
        <v>0.99747374636306974</v>
      </c>
      <c r="F144" s="1">
        <f t="shared" si="1"/>
        <v>-5.8306001517148474</v>
      </c>
      <c r="I144" s="1">
        <f t="shared" si="2"/>
        <v>2</v>
      </c>
      <c r="L144" s="1">
        <f t="shared" si="3"/>
        <v>9.3100909865893389</v>
      </c>
      <c r="N144" s="1">
        <f t="shared" si="4"/>
        <v>1.3687159876186544E-39</v>
      </c>
      <c r="Q144" s="1">
        <f t="shared" si="5"/>
        <v>2.7184734962696636E-265</v>
      </c>
      <c r="S144" s="1">
        <f t="shared" si="9"/>
        <v>7.4361979072917325E-41</v>
      </c>
      <c r="V144" s="1">
        <f t="shared" si="6"/>
        <v>1.0406112877297279E+98</v>
      </c>
      <c r="Z144" s="1">
        <f t="shared" si="7"/>
        <v>0</v>
      </c>
      <c r="AC144" s="1">
        <f t="shared" si="8"/>
        <v>0</v>
      </c>
      <c r="AF144" s="1">
        <f t="shared" si="10"/>
        <v>1.0000090546903511</v>
      </c>
      <c r="AI144" s="1">
        <f t="shared" si="11"/>
        <v>0.99747374636306974</v>
      </c>
      <c r="AK144" s="1">
        <f t="shared" si="12"/>
        <v>99.747374636306972</v>
      </c>
      <c r="AM144" s="1">
        <f t="shared" si="13"/>
        <v>298.34708266093816</v>
      </c>
      <c r="AO144" s="1">
        <f t="shared" si="14"/>
        <v>298.34708266093816</v>
      </c>
      <c r="AQ144" s="1">
        <f t="shared" si="15"/>
        <v>0.29834708266093818</v>
      </c>
    </row>
    <row r="145" spans="2:43" x14ac:dyDescent="0.25">
      <c r="B145" s="1">
        <f t="shared" si="16"/>
        <v>640</v>
      </c>
      <c r="D145" s="1">
        <f t="shared" si="0"/>
        <v>0.99747374636306974</v>
      </c>
      <c r="F145" s="1">
        <f t="shared" si="1"/>
        <v>-5.5277863289487632</v>
      </c>
      <c r="I145" s="1">
        <f t="shared" si="2"/>
        <v>1.9999999999999947</v>
      </c>
      <c r="L145" s="1">
        <f t="shared" si="3"/>
        <v>9.6129048093554239</v>
      </c>
      <c r="N145" s="1">
        <f t="shared" si="4"/>
        <v>4.3052024427621225E-42</v>
      </c>
      <c r="Q145" s="1">
        <f t="shared" si="5"/>
        <v>8.2709975816788035E-272</v>
      </c>
      <c r="S145" s="1">
        <f t="shared" si="9"/>
        <v>2.1314230634900491E-43</v>
      </c>
      <c r="V145" s="1">
        <f t="shared" si="6"/>
        <v>1.0406112877297279E+98</v>
      </c>
      <c r="Z145" s="1">
        <f t="shared" si="7"/>
        <v>0</v>
      </c>
      <c r="AC145" s="1">
        <f t="shared" si="8"/>
        <v>0</v>
      </c>
      <c r="AF145" s="1">
        <f t="shared" si="10"/>
        <v>1.0000099414821828</v>
      </c>
      <c r="AI145" s="1">
        <f t="shared" si="11"/>
        <v>0.99747374636306707</v>
      </c>
      <c r="AK145" s="1">
        <f t="shared" si="12"/>
        <v>99.747374636306702</v>
      </c>
      <c r="AM145" s="1">
        <f t="shared" si="13"/>
        <v>298.34708266093736</v>
      </c>
      <c r="AO145" s="1">
        <f t="shared" si="14"/>
        <v>298.34708266093736</v>
      </c>
      <c r="AQ145" s="1">
        <f t="shared" si="15"/>
        <v>0.2983470826609374</v>
      </c>
    </row>
    <row r="146" spans="2:43" x14ac:dyDescent="0.25">
      <c r="B146" s="1">
        <f t="shared" si="16"/>
        <v>660</v>
      </c>
      <c r="D146" s="1">
        <f t="shared" ref="D146:D177" si="17">EXP(-0.693/$M$6*$M$19)</f>
        <v>0.99747374636306974</v>
      </c>
      <c r="F146" s="1">
        <f t="shared" ref="F146:F177" si="18">(B146-$M$13-($I$33*$M$19))/POWER(4*$T$33*$M$19,0.5)</f>
        <v>-5.2249725061826799</v>
      </c>
      <c r="I146" s="1">
        <f t="shared" ref="I146:I177" si="19">IF(F146&gt;0,ERFC(IF(F146&lt;27,F146,27)),1+ERF(IF(-F146&lt;27,-F146,27)))</f>
        <v>1.9999999999998523</v>
      </c>
      <c r="L146" s="1">
        <f t="shared" ref="L146:L177" si="20">(B146-($M$19*$I$33))/POWER(4*$T$33*$M$19,0.5)</f>
        <v>9.9157186321215072</v>
      </c>
      <c r="N146" s="1">
        <f t="shared" ref="N146:N177" si="21">IF(L146&gt;0,ERFC(IF(L146&lt;27,L146,27)),1+ERF(IF(-L146&lt;27,-L146,27)))</f>
        <v>1.1283536759188716E-44</v>
      </c>
      <c r="Q146" s="1">
        <f t="shared" ref="Q146:Q177" si="22">IF((B146+$M$13+$I$33*$M$19)/POWER(4*$T$33*$M$19,0.5)&gt;27,ERFC(27),ERFC((B146+$M$13+$I$33*$M$19)/POWER(4*$T$33*$M$19,0.5)))</f>
        <v>2.0951168658840168E-278</v>
      </c>
      <c r="S146" s="1">
        <f t="shared" ref="S146:S177" si="23">IF((B146+$I$33*$M$19)/(POWER(4*$T$33*$M$19,0.5))&gt;27,ERFC(27),ERFC((B146+$I$33*$M$19)/(POWER(4*$T$33*$M$19,0.5))))</f>
        <v>5.0903436922092276E-46</v>
      </c>
      <c r="V146" s="1">
        <f t="shared" ref="V146:V177" si="24">(2+$I$33/$C$39)*EXP(IF(($C$39*($C$39+$I$33)*$M$19+($C$39+$I$33)*B146)/$T$33&gt;225,225,($C$39*($C$39+$I$33)*$M$19+($C$39+$I$33)*B146)/$T$33))</f>
        <v>1.0406112877297279E+98</v>
      </c>
      <c r="Z146" s="1">
        <f t="shared" ref="Z146:Z177" si="25">IF((B146+((2*$C$39+$I$33)*$M$19))/POWER(4*$T$33*$M$19,0.5)&gt;27,ERFC(27),ERFC((B146+((2*$C$39+$I$33)*$M$19))/POWER(4*$T$33*$M$19,0.5)))</f>
        <v>0</v>
      </c>
      <c r="AC146" s="1">
        <f t="shared" ref="AC146:AC177" si="26">IF((B146+$M$13+((2*$C$39+$I$33)*$M$19))/POWER(4*$T$33*$M$19,0.5)&gt;27,ERFC(27),ERFC((B146+$M$13+((2*$C$39+$I$33)*$M$19))/POWER(4*$T$33*$M$19,0.5)))</f>
        <v>0</v>
      </c>
      <c r="AF146" s="1">
        <f t="shared" si="10"/>
        <v>1.0000109151240031</v>
      </c>
      <c r="AI146" s="1">
        <f t="shared" si="11"/>
        <v>0.99747374636299613</v>
      </c>
      <c r="AK146" s="1">
        <f t="shared" si="12"/>
        <v>99.747374636299611</v>
      </c>
      <c r="AM146" s="1">
        <f t="shared" si="13"/>
        <v>298.34708266091616</v>
      </c>
      <c r="AO146" s="1">
        <f t="shared" si="14"/>
        <v>298.34708266091616</v>
      </c>
      <c r="AQ146" s="1">
        <f t="shared" si="15"/>
        <v>0.29834708266091614</v>
      </c>
    </row>
    <row r="147" spans="2:43" x14ac:dyDescent="0.25">
      <c r="B147" s="1">
        <f t="shared" si="16"/>
        <v>680</v>
      </c>
      <c r="D147" s="1">
        <f t="shared" si="17"/>
        <v>0.99747374636306974</v>
      </c>
      <c r="F147" s="1">
        <f t="shared" si="18"/>
        <v>-4.9221586834165958</v>
      </c>
      <c r="I147" s="1">
        <f t="shared" si="19"/>
        <v>1.9999999999966209</v>
      </c>
      <c r="L147" s="1">
        <f t="shared" si="20"/>
        <v>10.21853245488759</v>
      </c>
      <c r="N147" s="1">
        <f t="shared" si="21"/>
        <v>2.4640183730410932E-47</v>
      </c>
      <c r="Q147" s="1">
        <f t="shared" si="22"/>
        <v>4.4184979940172391E-285</v>
      </c>
      <c r="S147" s="1">
        <f t="shared" si="23"/>
        <v>1.0128845507217332E-48</v>
      </c>
      <c r="V147" s="1">
        <f t="shared" si="24"/>
        <v>1.0406112877297279E+98</v>
      </c>
      <c r="Z147" s="1">
        <f t="shared" si="25"/>
        <v>0</v>
      </c>
      <c r="AC147" s="1">
        <f t="shared" si="26"/>
        <v>0</v>
      </c>
      <c r="AF147" s="1">
        <f t="shared" si="10"/>
        <v>1.0000119841216644</v>
      </c>
      <c r="AI147" s="1">
        <f t="shared" si="11"/>
        <v>0.99747374636138442</v>
      </c>
      <c r="AK147" s="1">
        <f t="shared" si="12"/>
        <v>99.747374636138446</v>
      </c>
      <c r="AM147" s="1">
        <f t="shared" si="13"/>
        <v>298.34708266043407</v>
      </c>
      <c r="AO147" s="1">
        <f t="shared" si="14"/>
        <v>298.34708266043407</v>
      </c>
      <c r="AQ147" s="1">
        <f t="shared" si="15"/>
        <v>0.29834708266043408</v>
      </c>
    </row>
    <row r="148" spans="2:43" x14ac:dyDescent="0.25">
      <c r="B148" s="1">
        <f t="shared" si="16"/>
        <v>700</v>
      </c>
      <c r="D148" s="1">
        <f t="shared" si="17"/>
        <v>0.99747374636306974</v>
      </c>
      <c r="F148" s="1">
        <f t="shared" si="18"/>
        <v>-4.6193448606505125</v>
      </c>
      <c r="I148" s="1">
        <f t="shared" si="19"/>
        <v>1.9999999999354228</v>
      </c>
      <c r="L148" s="1">
        <f t="shared" si="20"/>
        <v>10.521346277653674</v>
      </c>
      <c r="N148" s="1">
        <f t="shared" si="21"/>
        <v>4.4829852641566138E-50</v>
      </c>
      <c r="Q148" s="1">
        <f t="shared" si="22"/>
        <v>7.7581050573864673E-292</v>
      </c>
      <c r="S148" s="1">
        <f t="shared" si="23"/>
        <v>1.679139572945333E-51</v>
      </c>
      <c r="V148" s="1">
        <f t="shared" si="24"/>
        <v>1.0406112877297279E+98</v>
      </c>
      <c r="Z148" s="1">
        <f t="shared" si="25"/>
        <v>0</v>
      </c>
      <c r="AC148" s="1">
        <f t="shared" si="26"/>
        <v>0</v>
      </c>
      <c r="AF148" s="1">
        <f t="shared" si="10"/>
        <v>1.0000131578140592</v>
      </c>
      <c r="AI148" s="1">
        <f t="shared" si="11"/>
        <v>0.99747374633086272</v>
      </c>
      <c r="AK148" s="1">
        <f t="shared" si="12"/>
        <v>99.747374633086267</v>
      </c>
      <c r="AM148" s="1">
        <f t="shared" si="13"/>
        <v>298.34708265130496</v>
      </c>
      <c r="AO148" s="1">
        <f t="shared" si="14"/>
        <v>298.34708265130496</v>
      </c>
      <c r="AQ148" s="1">
        <f t="shared" si="15"/>
        <v>0.298347082651305</v>
      </c>
    </row>
    <row r="149" spans="2:43" x14ac:dyDescent="0.25">
      <c r="B149" s="1">
        <f t="shared" si="16"/>
        <v>720</v>
      </c>
      <c r="D149" s="1">
        <f t="shared" si="17"/>
        <v>0.99747374636306974</v>
      </c>
      <c r="F149" s="1">
        <f t="shared" si="18"/>
        <v>-4.3165310378844284</v>
      </c>
      <c r="I149" s="1">
        <f t="shared" si="19"/>
        <v>1.9999999989687489</v>
      </c>
      <c r="L149" s="1">
        <f t="shared" si="20"/>
        <v>10.824160100419759</v>
      </c>
      <c r="N149" s="1">
        <f t="shared" si="21"/>
        <v>6.7950842422876904E-53</v>
      </c>
      <c r="Q149" s="1">
        <f t="shared" si="22"/>
        <v>1.1340960073550711E-298</v>
      </c>
      <c r="S149" s="1">
        <f t="shared" si="23"/>
        <v>2.3190387427471444E-54</v>
      </c>
      <c r="V149" s="1">
        <f t="shared" si="24"/>
        <v>1.0406112877297279E+98</v>
      </c>
      <c r="Z149" s="1">
        <f t="shared" si="25"/>
        <v>0</v>
      </c>
      <c r="AC149" s="1">
        <f t="shared" si="26"/>
        <v>0</v>
      </c>
      <c r="AF149" s="1">
        <f t="shared" si="10"/>
        <v>1.0000144464547063</v>
      </c>
      <c r="AI149" s="1">
        <f t="shared" si="11"/>
        <v>0.99747374584874682</v>
      </c>
      <c r="AK149" s="1">
        <f t="shared" si="12"/>
        <v>99.747374584874677</v>
      </c>
      <c r="AM149" s="1">
        <f t="shared" si="13"/>
        <v>298.34708250710281</v>
      </c>
      <c r="AO149" s="1">
        <f t="shared" si="14"/>
        <v>298.34708250710281</v>
      </c>
      <c r="AQ149" s="1">
        <f t="shared" si="15"/>
        <v>0.29834708250710279</v>
      </c>
    </row>
    <row r="150" spans="2:43" x14ac:dyDescent="0.25">
      <c r="B150" s="1">
        <f t="shared" si="16"/>
        <v>740</v>
      </c>
      <c r="D150" s="1">
        <f t="shared" si="17"/>
        <v>0.99747374636306974</v>
      </c>
      <c r="F150" s="1">
        <f t="shared" si="18"/>
        <v>-4.0137172151183451</v>
      </c>
      <c r="I150" s="1">
        <f t="shared" si="19"/>
        <v>1.9999999862323148</v>
      </c>
      <c r="L150" s="1">
        <f t="shared" si="20"/>
        <v>11.126973923185842</v>
      </c>
      <c r="N150" s="1">
        <f t="shared" si="21"/>
        <v>8.5804027792954232E-56</v>
      </c>
      <c r="Q150" s="1">
        <f t="shared" si="22"/>
        <v>1.3802437589909036E-305</v>
      </c>
      <c r="S150" s="1">
        <f t="shared" si="23"/>
        <v>2.668120686547633E-57</v>
      </c>
      <c r="V150" s="1">
        <f t="shared" si="24"/>
        <v>1.0406112877297279E+98</v>
      </c>
      <c r="Z150" s="1">
        <f t="shared" si="25"/>
        <v>0</v>
      </c>
      <c r="AC150" s="1">
        <f t="shared" si="26"/>
        <v>0</v>
      </c>
      <c r="AF150" s="1">
        <f t="shared" si="10"/>
        <v>1.0000158613013255</v>
      </c>
      <c r="AI150" s="1">
        <f t="shared" si="11"/>
        <v>0.99747373949661744</v>
      </c>
      <c r="AK150" s="1">
        <f t="shared" si="12"/>
        <v>99.74737394966175</v>
      </c>
      <c r="AM150" s="1">
        <f t="shared" si="13"/>
        <v>298.34708060716378</v>
      </c>
      <c r="AO150" s="1">
        <f t="shared" si="14"/>
        <v>298.34708060716378</v>
      </c>
      <c r="AQ150" s="1">
        <f t="shared" si="15"/>
        <v>0.29834708060716381</v>
      </c>
    </row>
    <row r="151" spans="2:43" x14ac:dyDescent="0.25">
      <c r="B151" s="1">
        <f t="shared" si="16"/>
        <v>760</v>
      </c>
      <c r="D151" s="1">
        <f t="shared" si="17"/>
        <v>0.99747374636306974</v>
      </c>
      <c r="F151" s="1">
        <f t="shared" si="18"/>
        <v>-3.7109033923522614</v>
      </c>
      <c r="I151" s="1">
        <f t="shared" si="19"/>
        <v>1.9999998462489676</v>
      </c>
      <c r="L151" s="1">
        <f t="shared" si="20"/>
        <v>11.429787745951925</v>
      </c>
      <c r="N151" s="1">
        <f t="shared" si="21"/>
        <v>9.0258560760713813E-59</v>
      </c>
      <c r="Q151" s="1">
        <f t="shared" si="22"/>
        <v>0</v>
      </c>
      <c r="S151" s="1">
        <f t="shared" si="23"/>
        <v>2.5571870157118962E-60</v>
      </c>
      <c r="V151" s="1">
        <f t="shared" si="24"/>
        <v>1.0406112877297279E+98</v>
      </c>
      <c r="Z151" s="1">
        <f t="shared" si="25"/>
        <v>0</v>
      </c>
      <c r="AC151" s="1">
        <f t="shared" si="26"/>
        <v>0</v>
      </c>
      <c r="AF151" s="1">
        <f t="shared" si="10"/>
        <v>1.0000174147141878</v>
      </c>
      <c r="AI151" s="1">
        <f t="shared" si="11"/>
        <v>0.99747366968176066</v>
      </c>
      <c r="AK151" s="1">
        <f t="shared" si="12"/>
        <v>99.747366968176067</v>
      </c>
      <c r="AM151" s="1">
        <f t="shared" si="13"/>
        <v>298.34705972535221</v>
      </c>
      <c r="AO151" s="1">
        <f t="shared" si="14"/>
        <v>298.34705972535221</v>
      </c>
      <c r="AQ151" s="1">
        <f t="shared" si="15"/>
        <v>0.29834705972535219</v>
      </c>
    </row>
    <row r="152" spans="2:43" x14ac:dyDescent="0.25">
      <c r="B152" s="1">
        <f t="shared" si="16"/>
        <v>780</v>
      </c>
      <c r="D152" s="1">
        <f t="shared" si="17"/>
        <v>0.99747374636306974</v>
      </c>
      <c r="F152" s="1">
        <f t="shared" si="18"/>
        <v>-3.4080895695861777</v>
      </c>
      <c r="I152" s="1">
        <f t="shared" si="19"/>
        <v>1.9999985627365202</v>
      </c>
      <c r="L152" s="1">
        <f t="shared" si="20"/>
        <v>11.732601568718009</v>
      </c>
      <c r="N152" s="1">
        <f t="shared" si="21"/>
        <v>7.9089888159395886E-62</v>
      </c>
      <c r="Q152" s="1">
        <f t="shared" si="22"/>
        <v>0</v>
      </c>
      <c r="S152" s="1">
        <f t="shared" si="23"/>
        <v>2.0415669102548973E-63</v>
      </c>
      <c r="V152" s="1">
        <f t="shared" si="24"/>
        <v>1.0406112877297279E+98</v>
      </c>
      <c r="Z152" s="1">
        <f t="shared" si="25"/>
        <v>0</v>
      </c>
      <c r="AC152" s="1">
        <f t="shared" si="26"/>
        <v>0</v>
      </c>
      <c r="AF152" s="1">
        <f t="shared" si="10"/>
        <v>1.0000191202640958</v>
      </c>
      <c r="AI152" s="1">
        <f t="shared" si="11"/>
        <v>0.99747302954677586</v>
      </c>
      <c r="AK152" s="1">
        <f t="shared" si="12"/>
        <v>99.747302954677579</v>
      </c>
      <c r="AM152" s="1">
        <f t="shared" si="13"/>
        <v>298.34686825925502</v>
      </c>
      <c r="AO152" s="1">
        <f t="shared" si="14"/>
        <v>298.34686825925502</v>
      </c>
      <c r="AQ152" s="1">
        <f t="shared" si="15"/>
        <v>0.29834686825925505</v>
      </c>
    </row>
    <row r="153" spans="2:43" x14ac:dyDescent="0.25">
      <c r="B153" s="1">
        <f t="shared" si="16"/>
        <v>800</v>
      </c>
      <c r="D153" s="1">
        <f t="shared" si="17"/>
        <v>0.99747374636306974</v>
      </c>
      <c r="F153" s="1">
        <f t="shared" si="18"/>
        <v>-3.105275746820094</v>
      </c>
      <c r="I153" s="1">
        <f t="shared" si="19"/>
        <v>1.9999887440613426</v>
      </c>
      <c r="L153" s="1">
        <f t="shared" si="20"/>
        <v>12.035415391484094</v>
      </c>
      <c r="N153" s="1">
        <f t="shared" si="21"/>
        <v>5.7728526116211863E-65</v>
      </c>
      <c r="Q153" s="1">
        <f t="shared" si="22"/>
        <v>0</v>
      </c>
      <c r="S153" s="1">
        <f t="shared" si="23"/>
        <v>1.3576709905674636E-66</v>
      </c>
      <c r="V153" s="1">
        <f t="shared" si="24"/>
        <v>1.0406112877297279E+98</v>
      </c>
      <c r="Z153" s="1">
        <f t="shared" si="25"/>
        <v>0</v>
      </c>
      <c r="AC153" s="1">
        <f t="shared" si="26"/>
        <v>0</v>
      </c>
      <c r="AF153" s="1">
        <f t="shared" si="10"/>
        <v>1.0000209928509389</v>
      </c>
      <c r="AI153" s="1">
        <f t="shared" si="11"/>
        <v>0.99746813261141909</v>
      </c>
      <c r="AK153" s="1">
        <f t="shared" si="12"/>
        <v>99.746813261141909</v>
      </c>
      <c r="AM153" s="1">
        <f t="shared" si="13"/>
        <v>298.34540357270765</v>
      </c>
      <c r="AO153" s="1">
        <f t="shared" si="14"/>
        <v>298.34540357270765</v>
      </c>
      <c r="AQ153" s="1">
        <f t="shared" si="15"/>
        <v>0.29834540357270767</v>
      </c>
    </row>
    <row r="154" spans="2:43" x14ac:dyDescent="0.25">
      <c r="B154" s="1">
        <f t="shared" si="16"/>
        <v>820</v>
      </c>
      <c r="D154" s="1">
        <f t="shared" si="17"/>
        <v>0.99747374636306974</v>
      </c>
      <c r="F154" s="1">
        <f t="shared" si="18"/>
        <v>-2.8024619240540103</v>
      </c>
      <c r="I154" s="1">
        <f t="shared" si="19"/>
        <v>1.9999260729052448</v>
      </c>
      <c r="L154" s="1">
        <f t="shared" si="20"/>
        <v>12.338229214250177</v>
      </c>
      <c r="N154" s="1">
        <f t="shared" si="21"/>
        <v>3.5098061508340584E-68</v>
      </c>
      <c r="Q154" s="1">
        <f t="shared" si="22"/>
        <v>0</v>
      </c>
      <c r="S154" s="1">
        <f t="shared" si="23"/>
        <v>7.5204177269993049E-70</v>
      </c>
      <c r="V154" s="1">
        <f t="shared" si="24"/>
        <v>1.0406112877297279E+98</v>
      </c>
      <c r="Z154" s="1">
        <f t="shared" si="25"/>
        <v>0</v>
      </c>
      <c r="AC154" s="1">
        <f t="shared" si="26"/>
        <v>0</v>
      </c>
      <c r="AF154" s="1">
        <f t="shared" si="10"/>
        <v>1.0000230488338624</v>
      </c>
      <c r="AI154" s="1">
        <f t="shared" si="11"/>
        <v>0.99743687619498811</v>
      </c>
      <c r="AK154" s="1">
        <f t="shared" si="12"/>
        <v>99.743687619498814</v>
      </c>
      <c r="AM154" s="1">
        <f t="shared" si="13"/>
        <v>298.33605469441324</v>
      </c>
      <c r="AO154" s="1">
        <f t="shared" si="14"/>
        <v>298.33605469441324</v>
      </c>
      <c r="AQ154" s="1">
        <f t="shared" si="15"/>
        <v>0.29833605469441327</v>
      </c>
    </row>
    <row r="155" spans="2:43" x14ac:dyDescent="0.25">
      <c r="B155" s="1">
        <f t="shared" si="16"/>
        <v>840</v>
      </c>
      <c r="D155" s="1">
        <f t="shared" si="17"/>
        <v>0.99747374636306974</v>
      </c>
      <c r="F155" s="1">
        <f t="shared" si="18"/>
        <v>-2.4996481012879266</v>
      </c>
      <c r="I155" s="1">
        <f t="shared" si="19"/>
        <v>1.9995922807724189</v>
      </c>
      <c r="L155" s="1">
        <f t="shared" si="20"/>
        <v>12.64104303701626</v>
      </c>
      <c r="N155" s="1">
        <f t="shared" si="21"/>
        <v>1.7774038860102892E-71</v>
      </c>
      <c r="Q155" s="1">
        <f t="shared" si="22"/>
        <v>0</v>
      </c>
      <c r="S155" s="1">
        <f t="shared" si="23"/>
        <v>3.4697128895534218E-73</v>
      </c>
      <c r="V155" s="1">
        <f t="shared" si="24"/>
        <v>1.0406112877297279E+98</v>
      </c>
      <c r="Z155" s="1">
        <f t="shared" si="25"/>
        <v>0</v>
      </c>
      <c r="AC155" s="1">
        <f t="shared" si="26"/>
        <v>0</v>
      </c>
      <c r="AF155" s="1">
        <f t="shared" si="10"/>
        <v>1.0000253061741808</v>
      </c>
      <c r="AI155" s="1">
        <f t="shared" si="11"/>
        <v>0.99727040175036996</v>
      </c>
      <c r="AK155" s="1">
        <f t="shared" si="12"/>
        <v>99.72704017503699</v>
      </c>
      <c r="AM155" s="1">
        <f t="shared" si="13"/>
        <v>298.28626173989136</v>
      </c>
      <c r="AO155" s="1">
        <f t="shared" si="14"/>
        <v>298.28626173989136</v>
      </c>
      <c r="AQ155" s="1">
        <f t="shared" si="15"/>
        <v>0.29828626173989137</v>
      </c>
    </row>
    <row r="156" spans="2:43" x14ac:dyDescent="0.25">
      <c r="B156" s="1">
        <f t="shared" si="16"/>
        <v>860</v>
      </c>
      <c r="D156" s="1">
        <f t="shared" si="17"/>
        <v>0.99747374636306974</v>
      </c>
      <c r="F156" s="1">
        <f t="shared" si="18"/>
        <v>-2.1968342785218429</v>
      </c>
      <c r="I156" s="1">
        <f t="shared" si="19"/>
        <v>1.998108711107724</v>
      </c>
      <c r="L156" s="1">
        <f t="shared" si="20"/>
        <v>12.943856859782343</v>
      </c>
      <c r="N156" s="1">
        <f t="shared" si="21"/>
        <v>7.4970001952467538E-75</v>
      </c>
      <c r="Q156" s="1">
        <f t="shared" si="22"/>
        <v>0</v>
      </c>
      <c r="S156" s="1">
        <f t="shared" si="23"/>
        <v>1.3333303152445311E-76</v>
      </c>
      <c r="V156" s="1">
        <f t="shared" si="24"/>
        <v>1.0406112877297279E+98</v>
      </c>
      <c r="Z156" s="1">
        <f t="shared" si="25"/>
        <v>0</v>
      </c>
      <c r="AC156" s="1">
        <f t="shared" si="26"/>
        <v>0</v>
      </c>
      <c r="AF156" s="1">
        <f t="shared" si="10"/>
        <v>1.000027784592292</v>
      </c>
      <c r="AI156" s="1">
        <f t="shared" si="11"/>
        <v>0.99653049085465306</v>
      </c>
      <c r="AK156" s="1">
        <f t="shared" si="12"/>
        <v>99.653049085465312</v>
      </c>
      <c r="AM156" s="1">
        <f t="shared" si="13"/>
        <v>298.06495239919838</v>
      </c>
      <c r="AO156" s="1">
        <f t="shared" si="14"/>
        <v>298.06495239919838</v>
      </c>
      <c r="AQ156" s="1">
        <f t="shared" si="15"/>
        <v>0.29806495239919839</v>
      </c>
    </row>
    <row r="157" spans="2:43" x14ac:dyDescent="0.25">
      <c r="B157" s="1">
        <f t="shared" si="16"/>
        <v>880</v>
      </c>
      <c r="D157" s="1">
        <f t="shared" si="17"/>
        <v>0.99747374636306974</v>
      </c>
      <c r="F157" s="1">
        <f t="shared" si="18"/>
        <v>-1.8940204557557589</v>
      </c>
      <c r="I157" s="1">
        <f t="shared" si="19"/>
        <v>1.9926058179361386</v>
      </c>
      <c r="L157" s="1">
        <f t="shared" si="20"/>
        <v>13.246670682548428</v>
      </c>
      <c r="N157" s="1">
        <f t="shared" si="21"/>
        <v>2.6337600054409447E-78</v>
      </c>
      <c r="Q157" s="1">
        <f t="shared" si="22"/>
        <v>0</v>
      </c>
      <c r="S157" s="1">
        <f t="shared" si="23"/>
        <v>4.2674050637088282E-80</v>
      </c>
      <c r="V157" s="1">
        <f t="shared" si="24"/>
        <v>1.0406112877297279E+98</v>
      </c>
      <c r="Z157" s="1">
        <f t="shared" si="25"/>
        <v>0</v>
      </c>
      <c r="AC157" s="1">
        <f t="shared" si="26"/>
        <v>0</v>
      </c>
      <c r="AF157" s="1">
        <f t="shared" si="10"/>
        <v>1.0000305057399557</v>
      </c>
      <c r="AI157" s="1">
        <f t="shared" si="11"/>
        <v>0.99378599512080446</v>
      </c>
      <c r="AK157" s="1">
        <f t="shared" si="12"/>
        <v>99.378599512080442</v>
      </c>
      <c r="AM157" s="1">
        <f t="shared" si="13"/>
        <v>297.2440663372297</v>
      </c>
      <c r="AO157" s="1">
        <f t="shared" si="14"/>
        <v>297.2440663372297</v>
      </c>
      <c r="AQ157" s="1">
        <f t="shared" si="15"/>
        <v>0.29724406633722972</v>
      </c>
    </row>
    <row r="158" spans="2:43" x14ac:dyDescent="0.25">
      <c r="B158" s="1">
        <f t="shared" si="16"/>
        <v>900</v>
      </c>
      <c r="D158" s="1">
        <f t="shared" si="17"/>
        <v>0.99747374636306974</v>
      </c>
      <c r="F158" s="1">
        <f t="shared" si="18"/>
        <v>-1.5912066329896752</v>
      </c>
      <c r="I158" s="1">
        <f t="shared" si="19"/>
        <v>1.9755704727289789</v>
      </c>
      <c r="L158" s="1">
        <f t="shared" si="20"/>
        <v>13.549484505314512</v>
      </c>
      <c r="N158" s="1">
        <f t="shared" si="21"/>
        <v>7.7062264919014002E-82</v>
      </c>
      <c r="Q158" s="1">
        <f t="shared" si="22"/>
        <v>0</v>
      </c>
      <c r="S158" s="1">
        <f t="shared" si="23"/>
        <v>1.1375273546861762E-83</v>
      </c>
      <c r="V158" s="1">
        <f t="shared" si="24"/>
        <v>1.0406112877297279E+98</v>
      </c>
      <c r="Z158" s="1">
        <f t="shared" si="25"/>
        <v>0</v>
      </c>
      <c r="AC158" s="1">
        <f t="shared" si="26"/>
        <v>0</v>
      </c>
      <c r="AF158" s="1">
        <f t="shared" si="10"/>
        <v>1.0000334933894461</v>
      </c>
      <c r="AI158" s="1">
        <f t="shared" si="11"/>
        <v>0.98528984031861766</v>
      </c>
      <c r="AK158" s="1">
        <f t="shared" si="12"/>
        <v>98.528984031861768</v>
      </c>
      <c r="AM158" s="1">
        <f t="shared" si="13"/>
        <v>294.70284356489066</v>
      </c>
      <c r="AO158" s="1">
        <f t="shared" si="14"/>
        <v>294.70284356489066</v>
      </c>
      <c r="AQ158" s="1">
        <f t="shared" si="15"/>
        <v>0.29470284356489068</v>
      </c>
    </row>
    <row r="159" spans="2:43" x14ac:dyDescent="0.25">
      <c r="B159" s="1">
        <f t="shared" si="16"/>
        <v>920</v>
      </c>
      <c r="D159" s="1">
        <f t="shared" si="17"/>
        <v>0.99747374636306974</v>
      </c>
      <c r="F159" s="1">
        <f t="shared" si="18"/>
        <v>-1.2883928102235915</v>
      </c>
      <c r="I159" s="1">
        <f t="shared" si="19"/>
        <v>1.9315545101472074</v>
      </c>
      <c r="L159" s="1">
        <f t="shared" si="20"/>
        <v>13.852298328080595</v>
      </c>
      <c r="N159" s="1">
        <f t="shared" si="21"/>
        <v>1.8779089118737442E-85</v>
      </c>
      <c r="Q159" s="1">
        <f t="shared" si="22"/>
        <v>0</v>
      </c>
      <c r="S159" s="1">
        <f t="shared" si="23"/>
        <v>2.5253542383375469E-87</v>
      </c>
      <c r="V159" s="1">
        <f t="shared" si="24"/>
        <v>1.0406112877297279E+98</v>
      </c>
      <c r="Z159" s="1">
        <f t="shared" si="25"/>
        <v>0</v>
      </c>
      <c r="AC159" s="1">
        <f t="shared" si="26"/>
        <v>0</v>
      </c>
      <c r="AF159" s="1">
        <f t="shared" si="10"/>
        <v>1.0000367736412303</v>
      </c>
      <c r="AI159" s="1">
        <f t="shared" si="11"/>
        <v>0.96333745677050941</v>
      </c>
      <c r="AK159" s="1">
        <f t="shared" si="12"/>
        <v>96.333745677050942</v>
      </c>
      <c r="AM159" s="1">
        <f t="shared" si="13"/>
        <v>288.13682655149836</v>
      </c>
      <c r="AO159" s="1">
        <f t="shared" si="14"/>
        <v>288.13682655149836</v>
      </c>
      <c r="AQ159" s="1">
        <f t="shared" si="15"/>
        <v>0.28813682655149842</v>
      </c>
    </row>
    <row r="160" spans="2:43" x14ac:dyDescent="0.25">
      <c r="B160" s="1">
        <f t="shared" si="16"/>
        <v>940</v>
      </c>
      <c r="D160" s="1">
        <f t="shared" si="17"/>
        <v>0.99747374636306974</v>
      </c>
      <c r="F160" s="1">
        <f t="shared" si="18"/>
        <v>-0.98557898745750783</v>
      </c>
      <c r="I160" s="1">
        <f t="shared" si="19"/>
        <v>1.8366277824979789</v>
      </c>
      <c r="L160" s="1">
        <f t="shared" si="20"/>
        <v>14.155112150846678</v>
      </c>
      <c r="N160" s="1">
        <f t="shared" si="21"/>
        <v>3.8112318228787482E-89</v>
      </c>
      <c r="Q160" s="1">
        <f t="shared" si="22"/>
        <v>0</v>
      </c>
      <c r="S160" s="1">
        <f t="shared" si="23"/>
        <v>4.6691351029842255E-91</v>
      </c>
      <c r="V160" s="1">
        <f t="shared" si="24"/>
        <v>1.0406112877297279E+98</v>
      </c>
      <c r="Z160" s="1">
        <f t="shared" si="25"/>
        <v>0</v>
      </c>
      <c r="AC160" s="1">
        <f t="shared" si="26"/>
        <v>0</v>
      </c>
      <c r="AF160" s="1">
        <f t="shared" si="10"/>
        <v>1.0000403751519837</v>
      </c>
      <c r="AI160" s="1">
        <f t="shared" si="11"/>
        <v>0.9159939974413781</v>
      </c>
      <c r="AK160" s="1">
        <f t="shared" si="12"/>
        <v>91.599399744137813</v>
      </c>
      <c r="AM160" s="1">
        <f t="shared" si="13"/>
        <v>273.97627042115005</v>
      </c>
      <c r="AO160" s="1">
        <f t="shared" si="14"/>
        <v>273.97627042115005</v>
      </c>
      <c r="AQ160" s="1">
        <f t="shared" si="15"/>
        <v>0.27397627042115003</v>
      </c>
    </row>
    <row r="161" spans="2:43" x14ac:dyDescent="0.25">
      <c r="B161" s="1">
        <f t="shared" si="16"/>
        <v>960</v>
      </c>
      <c r="D161" s="1">
        <f t="shared" si="17"/>
        <v>0.99747374636306974</v>
      </c>
      <c r="F161" s="1">
        <f t="shared" si="18"/>
        <v>-0.68276516469142401</v>
      </c>
      <c r="I161" s="1">
        <f t="shared" si="19"/>
        <v>1.6657434883180322</v>
      </c>
      <c r="L161" s="1">
        <f t="shared" si="20"/>
        <v>14.457925973612763</v>
      </c>
      <c r="N161" s="1">
        <f t="shared" si="21"/>
        <v>6.4417782514591204E-93</v>
      </c>
      <c r="Q161" s="1">
        <f t="shared" si="22"/>
        <v>0</v>
      </c>
      <c r="S161" s="1">
        <f t="shared" si="23"/>
        <v>7.1894554105910054E-95</v>
      </c>
      <c r="V161" s="1">
        <f t="shared" si="24"/>
        <v>1.0406112877297279E+98</v>
      </c>
      <c r="Z161" s="1">
        <f t="shared" si="25"/>
        <v>0</v>
      </c>
      <c r="AC161" s="1">
        <f t="shared" si="26"/>
        <v>0</v>
      </c>
      <c r="AF161" s="1">
        <f t="shared" si="10"/>
        <v>1.0000443293849388</v>
      </c>
      <c r="AI161" s="1">
        <f t="shared" si="11"/>
        <v>0.83076769888623792</v>
      </c>
      <c r="AK161" s="1">
        <f t="shared" si="12"/>
        <v>83.076769888623787</v>
      </c>
      <c r="AM161" s="1">
        <f t="shared" si="13"/>
        <v>248.48485510056972</v>
      </c>
      <c r="AO161" s="1">
        <f t="shared" si="14"/>
        <v>248.48485510056972</v>
      </c>
      <c r="AQ161" s="1">
        <f t="shared" si="15"/>
        <v>0.24848485510056972</v>
      </c>
    </row>
    <row r="162" spans="2:43" x14ac:dyDescent="0.25">
      <c r="B162" s="1">
        <f t="shared" si="16"/>
        <v>980</v>
      </c>
      <c r="D162" s="1">
        <f t="shared" si="17"/>
        <v>0.99747374636306974</v>
      </c>
      <c r="F162" s="1">
        <f t="shared" si="18"/>
        <v>-0.37995134192534036</v>
      </c>
      <c r="I162" s="1">
        <f t="shared" si="19"/>
        <v>1.4089619301967176</v>
      </c>
      <c r="L162" s="1">
        <f t="shared" si="20"/>
        <v>14.760739796378846</v>
      </c>
      <c r="N162" s="1">
        <f t="shared" si="21"/>
        <v>9.0675034578715516E-97</v>
      </c>
      <c r="Q162" s="1">
        <f t="shared" si="22"/>
        <v>0</v>
      </c>
      <c r="S162" s="1">
        <f t="shared" si="23"/>
        <v>9.2191994353745535E-99</v>
      </c>
      <c r="V162" s="1">
        <f t="shared" si="24"/>
        <v>1.0406112877297279E+98</v>
      </c>
      <c r="Z162" s="1">
        <f t="shared" si="25"/>
        <v>0</v>
      </c>
      <c r="AC162" s="1">
        <f t="shared" si="26"/>
        <v>0</v>
      </c>
      <c r="AF162" s="1">
        <f t="shared" si="10"/>
        <v>1.0000486708847525</v>
      </c>
      <c r="AI162" s="1">
        <f t="shared" si="11"/>
        <v>0.70270126749813089</v>
      </c>
      <c r="AK162" s="1">
        <f t="shared" si="12"/>
        <v>70.270126749813087</v>
      </c>
      <c r="AM162" s="1">
        <f t="shared" si="13"/>
        <v>210.17984072725753</v>
      </c>
      <c r="AO162" s="1">
        <f t="shared" si="14"/>
        <v>210.17984072725753</v>
      </c>
      <c r="AQ162" s="1">
        <f t="shared" si="15"/>
        <v>0.21017984072725754</v>
      </c>
    </row>
    <row r="163" spans="2:43" x14ac:dyDescent="0.25">
      <c r="B163" s="1">
        <f t="shared" si="16"/>
        <v>1000</v>
      </c>
      <c r="D163" s="1">
        <f t="shared" si="17"/>
        <v>0.99747374636306974</v>
      </c>
      <c r="F163" s="1">
        <f t="shared" si="18"/>
        <v>-7.713751915925661E-2</v>
      </c>
      <c r="I163" s="1">
        <f t="shared" si="19"/>
        <v>1.0868680415716558</v>
      </c>
      <c r="L163" s="1">
        <f t="shared" si="20"/>
        <v>15.06355361914493</v>
      </c>
      <c r="N163" s="1">
        <f t="shared" si="21"/>
        <v>1.0629276757805709E-100</v>
      </c>
      <c r="Q163" s="1">
        <f t="shared" si="22"/>
        <v>0</v>
      </c>
      <c r="S163" s="1">
        <f t="shared" si="23"/>
        <v>9.8451148819312622E-103</v>
      </c>
      <c r="V163" s="1">
        <f t="shared" si="24"/>
        <v>1.0406112877297279E+98</v>
      </c>
      <c r="Z163" s="1">
        <f t="shared" si="25"/>
        <v>0</v>
      </c>
      <c r="AC163" s="1">
        <f t="shared" si="26"/>
        <v>0</v>
      </c>
      <c r="AF163" s="1">
        <f t="shared" si="10"/>
        <v>1.0000534375792909</v>
      </c>
      <c r="AI163" s="1">
        <f t="shared" si="11"/>
        <v>0.54206116861438614</v>
      </c>
      <c r="AK163" s="1">
        <f t="shared" si="12"/>
        <v>54.206116861438616</v>
      </c>
      <c r="AM163" s="1">
        <f t="shared" si="13"/>
        <v>162.13195472015539</v>
      </c>
      <c r="AO163" s="1">
        <f t="shared" si="14"/>
        <v>162.13195472015539</v>
      </c>
      <c r="AQ163" s="1">
        <f t="shared" si="15"/>
        <v>0.1621319547201554</v>
      </c>
    </row>
    <row r="164" spans="2:43" x14ac:dyDescent="0.25">
      <c r="B164" s="1">
        <f t="shared" si="16"/>
        <v>1020</v>
      </c>
      <c r="D164" s="1">
        <f t="shared" si="17"/>
        <v>0.99747374636306974</v>
      </c>
      <c r="F164" s="1">
        <f t="shared" si="18"/>
        <v>0.22567630360682711</v>
      </c>
      <c r="I164" s="1">
        <f t="shared" si="19"/>
        <v>0.74960936594943672</v>
      </c>
      <c r="L164" s="1">
        <f t="shared" si="20"/>
        <v>15.366367441911013</v>
      </c>
      <c r="N164" s="1">
        <f t="shared" si="21"/>
        <v>1.037639844493491E-104</v>
      </c>
      <c r="Q164" s="1">
        <f t="shared" si="22"/>
        <v>0</v>
      </c>
      <c r="S164" s="1">
        <f t="shared" si="23"/>
        <v>8.7553165908943276E-107</v>
      </c>
      <c r="V164" s="1">
        <f t="shared" si="24"/>
        <v>1.0406112877297279E+98</v>
      </c>
      <c r="Z164" s="1">
        <f t="shared" si="25"/>
        <v>0</v>
      </c>
      <c r="AC164" s="1">
        <f t="shared" si="26"/>
        <v>0</v>
      </c>
      <c r="AF164" s="1">
        <f t="shared" si="10"/>
        <v>1.0000586711109729</v>
      </c>
      <c r="AI164" s="1">
        <f t="shared" si="11"/>
        <v>0.37385783128121497</v>
      </c>
      <c r="AK164" s="1">
        <f t="shared" si="12"/>
        <v>37.385783128121496</v>
      </c>
      <c r="AM164" s="1">
        <f t="shared" si="13"/>
        <v>111.82188373316501</v>
      </c>
      <c r="AO164" s="1">
        <f t="shared" si="14"/>
        <v>111.82188373316501</v>
      </c>
      <c r="AQ164" s="1">
        <f t="shared" si="15"/>
        <v>0.11182188373316503</v>
      </c>
    </row>
    <row r="165" spans="2:43" x14ac:dyDescent="0.25">
      <c r="B165" s="1">
        <f t="shared" si="16"/>
        <v>1040</v>
      </c>
      <c r="D165" s="1">
        <f t="shared" si="17"/>
        <v>0.99747374636306974</v>
      </c>
      <c r="F165" s="1">
        <f t="shared" si="18"/>
        <v>0.52849012637291082</v>
      </c>
      <c r="I165" s="1">
        <f t="shared" si="19"/>
        <v>0.45482341004348248</v>
      </c>
      <c r="L165" s="1">
        <f t="shared" si="20"/>
        <v>15.669181264677096</v>
      </c>
      <c r="N165" s="1">
        <f t="shared" si="21"/>
        <v>8.4354805045168849E-109</v>
      </c>
      <c r="Q165" s="1">
        <f t="shared" si="22"/>
        <v>0</v>
      </c>
      <c r="S165" s="1">
        <f t="shared" si="23"/>
        <v>6.4839540262667925E-111</v>
      </c>
      <c r="V165" s="1">
        <f t="shared" si="24"/>
        <v>1.0406112877297279E+98</v>
      </c>
      <c r="Z165" s="1">
        <f t="shared" si="25"/>
        <v>0</v>
      </c>
      <c r="AC165" s="1">
        <f t="shared" si="26"/>
        <v>0</v>
      </c>
      <c r="AF165" s="1">
        <f t="shared" si="10"/>
        <v>1.0000644172005635</v>
      </c>
      <c r="AI165" s="1">
        <f t="shared" si="11"/>
        <v>0.22683720537484955</v>
      </c>
      <c r="AK165" s="1">
        <f t="shared" si="12"/>
        <v>22.683720537484955</v>
      </c>
      <c r="AM165" s="1">
        <f t="shared" si="13"/>
        <v>67.847618756186321</v>
      </c>
      <c r="AO165" s="1">
        <f t="shared" si="14"/>
        <v>67.847618756186321</v>
      </c>
      <c r="AQ165" s="1">
        <f t="shared" si="15"/>
        <v>6.784761875618632E-2</v>
      </c>
    </row>
    <row r="166" spans="2:43" x14ac:dyDescent="0.25">
      <c r="B166" s="1">
        <f t="shared" si="16"/>
        <v>1060</v>
      </c>
      <c r="D166" s="1">
        <f t="shared" si="17"/>
        <v>0.99747374636306974</v>
      </c>
      <c r="F166" s="1">
        <f t="shared" si="18"/>
        <v>0.83130394913899464</v>
      </c>
      <c r="I166" s="1">
        <f t="shared" si="19"/>
        <v>0.2397382367877956</v>
      </c>
      <c r="L166" s="1">
        <f t="shared" si="20"/>
        <v>15.97199508744318</v>
      </c>
      <c r="N166" s="1">
        <f t="shared" si="21"/>
        <v>5.7106687880318446E-113</v>
      </c>
      <c r="Q166" s="1">
        <f t="shared" si="22"/>
        <v>0</v>
      </c>
      <c r="S166" s="1">
        <f t="shared" si="23"/>
        <v>3.9987005741961041E-115</v>
      </c>
      <c r="V166" s="1">
        <f t="shared" si="24"/>
        <v>1.0406112877297279E+98</v>
      </c>
      <c r="Z166" s="1">
        <f t="shared" si="25"/>
        <v>0</v>
      </c>
      <c r="AC166" s="1">
        <f t="shared" si="26"/>
        <v>0</v>
      </c>
      <c r="AF166" s="1">
        <f t="shared" si="10"/>
        <v>1.0000707260465946</v>
      </c>
      <c r="AI166" s="1">
        <f t="shared" si="11"/>
        <v>0.1195662985975996</v>
      </c>
      <c r="AK166" s="1">
        <f t="shared" si="12"/>
        <v>11.956629859759961</v>
      </c>
      <c r="AM166" s="1">
        <f t="shared" si="13"/>
        <v>35.762601773958011</v>
      </c>
      <c r="AO166" s="1">
        <f t="shared" si="14"/>
        <v>35.762601773958011</v>
      </c>
      <c r="AQ166" s="1">
        <f t="shared" si="15"/>
        <v>3.5762601773958014E-2</v>
      </c>
    </row>
    <row r="167" spans="2:43" x14ac:dyDescent="0.25">
      <c r="B167" s="1">
        <f t="shared" si="16"/>
        <v>1080</v>
      </c>
      <c r="D167" s="1">
        <f t="shared" si="17"/>
        <v>0.99747374636306974</v>
      </c>
      <c r="F167" s="1">
        <f t="shared" si="18"/>
        <v>1.1341177719050781</v>
      </c>
      <c r="I167" s="1">
        <f t="shared" si="19"/>
        <v>0.10873946234022996</v>
      </c>
      <c r="L167" s="1">
        <f t="shared" si="20"/>
        <v>16.274808910209263</v>
      </c>
      <c r="N167" s="1">
        <f t="shared" si="21"/>
        <v>3.2193791518130205E-117</v>
      </c>
      <c r="Q167" s="1">
        <f t="shared" si="22"/>
        <v>0</v>
      </c>
      <c r="S167" s="1">
        <f t="shared" si="23"/>
        <v>2.0535389563170395E-119</v>
      </c>
      <c r="V167" s="1">
        <f t="shared" si="24"/>
        <v>1.0406112877297279E+98</v>
      </c>
      <c r="Z167" s="1">
        <f t="shared" si="25"/>
        <v>0</v>
      </c>
      <c r="AC167" s="1">
        <f t="shared" si="26"/>
        <v>0</v>
      </c>
      <c r="AF167" s="1">
        <f t="shared" si="10"/>
        <v>1.000077652763907</v>
      </c>
      <c r="AI167" s="1">
        <f t="shared" si="11"/>
        <v>5.4232379439007557E-2</v>
      </c>
      <c r="AK167" s="1">
        <f t="shared" si="12"/>
        <v>5.4232379439007561</v>
      </c>
      <c r="AM167" s="1">
        <f t="shared" si="13"/>
        <v>16.221050679663279</v>
      </c>
      <c r="AO167" s="1">
        <f t="shared" si="14"/>
        <v>16.221050679663279</v>
      </c>
      <c r="AQ167" s="1">
        <f t="shared" si="15"/>
        <v>1.6221050679663281E-2</v>
      </c>
    </row>
    <row r="168" spans="2:43" x14ac:dyDescent="0.25">
      <c r="B168" s="1">
        <f t="shared" si="16"/>
        <v>1100</v>
      </c>
      <c r="D168" s="1">
        <f t="shared" si="17"/>
        <v>0.99747374636306974</v>
      </c>
      <c r="F168" s="1">
        <f t="shared" si="18"/>
        <v>1.4369315946711618</v>
      </c>
      <c r="I168" s="1">
        <f t="shared" si="19"/>
        <v>4.2140684336773364E-2</v>
      </c>
      <c r="L168" s="1">
        <f t="shared" si="20"/>
        <v>16.577622732975346</v>
      </c>
      <c r="N168" s="1">
        <f t="shared" si="21"/>
        <v>1.5113312547013338E-121</v>
      </c>
      <c r="Q168" s="1">
        <f t="shared" si="22"/>
        <v>0</v>
      </c>
      <c r="S168" s="1">
        <f t="shared" si="23"/>
        <v>8.7818626159250468E-124</v>
      </c>
      <c r="V168" s="1">
        <f t="shared" si="24"/>
        <v>1.0406112877297279E+98</v>
      </c>
      <c r="Z168" s="1">
        <f t="shared" si="25"/>
        <v>0</v>
      </c>
      <c r="AC168" s="1">
        <f t="shared" si="26"/>
        <v>0</v>
      </c>
      <c r="AF168" s="1">
        <f t="shared" si="10"/>
        <v>1.0000852578651394</v>
      </c>
      <c r="AI168" s="1">
        <f t="shared" si="11"/>
        <v>2.1017113139852429E-2</v>
      </c>
      <c r="AK168" s="1">
        <f t="shared" si="12"/>
        <v>2.101711313985243</v>
      </c>
      <c r="AM168" s="1">
        <f t="shared" si="13"/>
        <v>6.2862751166059123</v>
      </c>
      <c r="AO168" s="1">
        <f t="shared" si="14"/>
        <v>6.2862751166059123</v>
      </c>
      <c r="AQ168" s="1">
        <f t="shared" si="15"/>
        <v>6.2862751166059124E-3</v>
      </c>
    </row>
    <row r="169" spans="2:43" x14ac:dyDescent="0.25">
      <c r="B169" s="1">
        <f t="shared" si="16"/>
        <v>1120</v>
      </c>
      <c r="D169" s="1">
        <f t="shared" si="17"/>
        <v>0.99747374636306974</v>
      </c>
      <c r="F169" s="1">
        <f t="shared" si="18"/>
        <v>1.7397454174372455</v>
      </c>
      <c r="I169" s="1">
        <f t="shared" si="19"/>
        <v>1.3879323942181138E-2</v>
      </c>
      <c r="L169" s="1">
        <f t="shared" si="20"/>
        <v>16.880436555741429</v>
      </c>
      <c r="N169" s="1">
        <f t="shared" si="21"/>
        <v>5.9080512734194947E-126</v>
      </c>
      <c r="Q169" s="1">
        <f t="shared" si="22"/>
        <v>0</v>
      </c>
      <c r="S169" s="1">
        <f t="shared" si="23"/>
        <v>3.1272657066840473E-128</v>
      </c>
      <c r="V169" s="1">
        <f t="shared" si="24"/>
        <v>1.0406112877297279E+98</v>
      </c>
      <c r="Z169" s="1">
        <f t="shared" si="25"/>
        <v>0</v>
      </c>
      <c r="AC169" s="1">
        <f t="shared" si="26"/>
        <v>0</v>
      </c>
      <c r="AF169" s="1">
        <f t="shared" si="10"/>
        <v>1.0000936077893741</v>
      </c>
      <c r="AI169" s="1">
        <f t="shared" si="11"/>
        <v>6.9221306247970347E-3</v>
      </c>
      <c r="AK169" s="1">
        <f t="shared" si="12"/>
        <v>0.69221306247970349</v>
      </c>
      <c r="AM169" s="1">
        <f t="shared" si="13"/>
        <v>2.0704279037279272</v>
      </c>
      <c r="AO169" s="1">
        <f t="shared" si="14"/>
        <v>2.0704279037279272</v>
      </c>
      <c r="AQ169" s="1">
        <f t="shared" si="15"/>
        <v>2.0704279037279272E-3</v>
      </c>
    </row>
    <row r="170" spans="2:43" x14ac:dyDescent="0.25">
      <c r="B170" s="1">
        <f t="shared" si="16"/>
        <v>1140</v>
      </c>
      <c r="D170" s="1">
        <f t="shared" si="17"/>
        <v>0.99747374636306974</v>
      </c>
      <c r="F170" s="1">
        <f t="shared" si="18"/>
        <v>2.0425592402033295</v>
      </c>
      <c r="I170" s="1">
        <f t="shared" si="19"/>
        <v>3.869425359351625E-3</v>
      </c>
      <c r="L170" s="1">
        <f t="shared" si="20"/>
        <v>17.183250378507516</v>
      </c>
      <c r="N170" s="1">
        <f t="shared" si="21"/>
        <v>1.9231840891858767E-130</v>
      </c>
      <c r="Q170" s="1">
        <f t="shared" si="22"/>
        <v>0</v>
      </c>
      <c r="S170" s="1">
        <f t="shared" si="23"/>
        <v>9.273260643191187E-133</v>
      </c>
      <c r="V170" s="1">
        <f t="shared" si="24"/>
        <v>1.0406112877297279E+98</v>
      </c>
      <c r="Z170" s="1">
        <f t="shared" si="25"/>
        <v>0</v>
      </c>
      <c r="AC170" s="1">
        <f t="shared" si="26"/>
        <v>0</v>
      </c>
      <c r="AF170" s="1">
        <f t="shared" si="10"/>
        <v>1.0001027754825571</v>
      </c>
      <c r="AI170" s="1">
        <f t="shared" si="11"/>
        <v>1.9298251047323665E-3</v>
      </c>
      <c r="AK170" s="1">
        <f t="shared" si="12"/>
        <v>0.19298251047323664</v>
      </c>
      <c r="AM170" s="1">
        <f t="shared" si="13"/>
        <v>0.57721588376840482</v>
      </c>
      <c r="AO170" s="1">
        <f t="shared" si="14"/>
        <v>0.57721588376840482</v>
      </c>
      <c r="AQ170" s="1">
        <f t="shared" si="15"/>
        <v>5.7721588376840488E-4</v>
      </c>
    </row>
    <row r="171" spans="2:43" x14ac:dyDescent="0.25">
      <c r="B171" s="1">
        <f t="shared" si="16"/>
        <v>1160</v>
      </c>
      <c r="D171" s="1">
        <f t="shared" si="17"/>
        <v>0.99747374636306974</v>
      </c>
      <c r="F171" s="1">
        <f t="shared" si="18"/>
        <v>2.3453730629694132</v>
      </c>
      <c r="I171" s="1">
        <f t="shared" si="19"/>
        <v>9.1035744243346127E-4</v>
      </c>
      <c r="L171" s="1">
        <f t="shared" si="20"/>
        <v>17.486064201273599</v>
      </c>
      <c r="N171" s="1">
        <f t="shared" si="21"/>
        <v>5.2129634961136464E-135</v>
      </c>
      <c r="Q171" s="1">
        <f t="shared" si="22"/>
        <v>0</v>
      </c>
      <c r="S171" s="1">
        <f t="shared" si="23"/>
        <v>2.2897339974435117E-137</v>
      </c>
      <c r="V171" s="1">
        <f t="shared" si="24"/>
        <v>1.0406112877297279E+98</v>
      </c>
      <c r="Z171" s="1">
        <f t="shared" si="25"/>
        <v>0</v>
      </c>
      <c r="AC171" s="1">
        <f t="shared" si="26"/>
        <v>0</v>
      </c>
      <c r="AF171" s="1">
        <f t="shared" si="10"/>
        <v>1.0001128410347631</v>
      </c>
      <c r="AI171" s="1">
        <f t="shared" si="11"/>
        <v>4.540288243168036E-4</v>
      </c>
      <c r="AK171" s="1">
        <f t="shared" si="12"/>
        <v>4.5402882431680364E-2</v>
      </c>
      <c r="AM171" s="1">
        <f t="shared" si="13"/>
        <v>0.13580124356434806</v>
      </c>
      <c r="AO171" s="1">
        <f t="shared" si="14"/>
        <v>0.13580124356434806</v>
      </c>
      <c r="AQ171" s="1">
        <f t="shared" si="15"/>
        <v>1.3580124356434806E-4</v>
      </c>
    </row>
    <row r="172" spans="2:43" x14ac:dyDescent="0.25">
      <c r="B172" s="1">
        <f t="shared" si="16"/>
        <v>1180</v>
      </c>
      <c r="D172" s="1">
        <f t="shared" si="17"/>
        <v>0.99747374636306974</v>
      </c>
      <c r="F172" s="1">
        <f t="shared" si="18"/>
        <v>2.6481868857354969</v>
      </c>
      <c r="I172" s="1">
        <f t="shared" si="19"/>
        <v>1.8032063655711302E-4</v>
      </c>
      <c r="L172" s="1">
        <f t="shared" si="20"/>
        <v>17.788878024039683</v>
      </c>
      <c r="N172" s="1">
        <f t="shared" si="21"/>
        <v>1.1766063649388674E-139</v>
      </c>
      <c r="Q172" s="1">
        <f t="shared" si="22"/>
        <v>0</v>
      </c>
      <c r="S172" s="1">
        <f t="shared" si="23"/>
        <v>4.707800557537811E-142</v>
      </c>
      <c r="V172" s="1">
        <f t="shared" si="24"/>
        <v>1.0406112877297279E+98</v>
      </c>
      <c r="Z172" s="1">
        <f t="shared" si="25"/>
        <v>0</v>
      </c>
      <c r="AC172" s="1">
        <f t="shared" si="26"/>
        <v>0</v>
      </c>
      <c r="AF172" s="1">
        <f t="shared" si="10"/>
        <v>1.000123892379871</v>
      </c>
      <c r="AI172" s="1">
        <f t="shared" si="11"/>
        <v>8.9932550446598518E-5</v>
      </c>
      <c r="AK172" s="1">
        <f t="shared" si="12"/>
        <v>8.9932550446598526E-3</v>
      </c>
      <c r="AM172" s="1">
        <f t="shared" si="13"/>
        <v>2.6899067930188994E-2</v>
      </c>
      <c r="AO172" s="1">
        <f t="shared" si="14"/>
        <v>2.6899067930188994E-2</v>
      </c>
      <c r="AQ172" s="1">
        <f t="shared" si="15"/>
        <v>2.6899067930188995E-5</v>
      </c>
    </row>
    <row r="173" spans="2:43" x14ac:dyDescent="0.25">
      <c r="B173" s="1">
        <f t="shared" si="16"/>
        <v>1200</v>
      </c>
      <c r="D173" s="1">
        <f t="shared" si="17"/>
        <v>0.99747374636306974</v>
      </c>
      <c r="F173" s="1">
        <f t="shared" si="18"/>
        <v>2.9510007085015806</v>
      </c>
      <c r="I173" s="1">
        <f t="shared" si="19"/>
        <v>3.0015959493167501E-5</v>
      </c>
      <c r="L173" s="1">
        <f t="shared" si="20"/>
        <v>18.091691846805766</v>
      </c>
      <c r="N173" s="1">
        <f t="shared" si="21"/>
        <v>2.2113428003854784E-144</v>
      </c>
      <c r="Q173" s="1">
        <f t="shared" si="22"/>
        <v>0</v>
      </c>
      <c r="S173" s="1">
        <f t="shared" si="23"/>
        <v>8.0598569277049166E-147</v>
      </c>
      <c r="V173" s="1">
        <f t="shared" si="24"/>
        <v>1.0406112877297279E+98</v>
      </c>
      <c r="Z173" s="1">
        <f t="shared" si="25"/>
        <v>0</v>
      </c>
      <c r="AC173" s="1">
        <f t="shared" si="26"/>
        <v>0</v>
      </c>
      <c r="AF173" s="1">
        <f t="shared" si="10"/>
        <v>1.0001360260637662</v>
      </c>
      <c r="AI173" s="1">
        <f t="shared" si="11"/>
        <v>1.4970065783165967E-5</v>
      </c>
      <c r="AK173" s="1">
        <f t="shared" si="12"/>
        <v>1.4970065783165966E-3</v>
      </c>
      <c r="AM173" s="1">
        <f t="shared" si="13"/>
        <v>4.4775869740277079E-3</v>
      </c>
      <c r="AO173" s="1">
        <f t="shared" si="14"/>
        <v>4.4775869740277079E-3</v>
      </c>
      <c r="AQ173" s="1">
        <f t="shared" si="15"/>
        <v>4.4775869740277078E-6</v>
      </c>
    </row>
    <row r="174" spans="2:43" x14ac:dyDescent="0.25">
      <c r="B174" s="1">
        <f t="shared" si="16"/>
        <v>1220</v>
      </c>
      <c r="D174" s="1">
        <f t="shared" si="17"/>
        <v>0.99747374636306974</v>
      </c>
      <c r="F174" s="1">
        <f t="shared" si="18"/>
        <v>3.2538145312676643</v>
      </c>
      <c r="I174" s="1">
        <f t="shared" si="19"/>
        <v>4.1928065434784784E-6</v>
      </c>
      <c r="L174" s="1">
        <f t="shared" si="20"/>
        <v>18.394505669571849</v>
      </c>
      <c r="N174" s="1">
        <f t="shared" si="21"/>
        <v>3.4606303843597507E-149</v>
      </c>
      <c r="Q174" s="1">
        <f t="shared" si="22"/>
        <v>0</v>
      </c>
      <c r="S174" s="1">
        <f t="shared" si="23"/>
        <v>1.1489704595234837E-151</v>
      </c>
      <c r="V174" s="1">
        <f t="shared" si="24"/>
        <v>1.0406112877297279E+98</v>
      </c>
      <c r="Z174" s="1">
        <f t="shared" si="25"/>
        <v>0</v>
      </c>
      <c r="AC174" s="1">
        <f t="shared" si="26"/>
        <v>0</v>
      </c>
      <c r="AF174" s="1">
        <f t="shared" si="10"/>
        <v>1.0001493480877757</v>
      </c>
      <c r="AI174" s="1">
        <f t="shared" si="11"/>
        <v>2.0911072253495354E-6</v>
      </c>
      <c r="AK174" s="1">
        <f t="shared" si="12"/>
        <v>2.0911072253495353E-4</v>
      </c>
      <c r="AM174" s="1">
        <f t="shared" si="13"/>
        <v>6.2545580020424794E-4</v>
      </c>
      <c r="AO174" s="1">
        <f t="shared" si="14"/>
        <v>6.2545580020424794E-4</v>
      </c>
      <c r="AQ174" s="1">
        <f t="shared" si="15"/>
        <v>6.2545580020424807E-7</v>
      </c>
    </row>
    <row r="175" spans="2:43" x14ac:dyDescent="0.25">
      <c r="B175" s="1">
        <f t="shared" si="16"/>
        <v>1240</v>
      </c>
      <c r="D175" s="1">
        <f t="shared" si="17"/>
        <v>0.99747374636306974</v>
      </c>
      <c r="F175" s="1">
        <f t="shared" si="18"/>
        <v>3.556628354033748</v>
      </c>
      <c r="I175" s="1">
        <f t="shared" si="19"/>
        <v>4.909096406797043E-7</v>
      </c>
      <c r="L175" s="1">
        <f t="shared" si="20"/>
        <v>18.697319492337932</v>
      </c>
      <c r="N175" s="1">
        <f t="shared" si="21"/>
        <v>4.5094619241489017E-154</v>
      </c>
      <c r="Q175" s="1">
        <f t="shared" si="22"/>
        <v>0</v>
      </c>
      <c r="S175" s="1">
        <f t="shared" si="23"/>
        <v>1.3638256046259504E-156</v>
      </c>
      <c r="V175" s="1">
        <f t="shared" si="24"/>
        <v>1.0406112877297279E+98</v>
      </c>
      <c r="Z175" s="1">
        <f t="shared" si="25"/>
        <v>0</v>
      </c>
      <c r="AC175" s="1">
        <f t="shared" si="26"/>
        <v>0</v>
      </c>
      <c r="AF175" s="1">
        <f t="shared" si="10"/>
        <v>1.0001639748347093</v>
      </c>
      <c r="AI175" s="1">
        <f t="shared" si="11"/>
        <v>2.4483473920726651E-7</v>
      </c>
      <c r="AK175" s="1">
        <f t="shared" si="12"/>
        <v>2.4483473920726653E-5</v>
      </c>
      <c r="AM175" s="1">
        <f t="shared" si="13"/>
        <v>7.323072957345959E-5</v>
      </c>
      <c r="AO175" s="1">
        <f t="shared" si="14"/>
        <v>7.323072957345959E-5</v>
      </c>
      <c r="AQ175" s="1">
        <f t="shared" si="15"/>
        <v>7.3230729573459595E-8</v>
      </c>
    </row>
    <row r="176" spans="2:43" x14ac:dyDescent="0.25">
      <c r="B176" s="1">
        <f t="shared" si="16"/>
        <v>1260</v>
      </c>
      <c r="D176" s="1">
        <f t="shared" si="17"/>
        <v>0.99747374636306974</v>
      </c>
      <c r="F176" s="1">
        <f t="shared" si="18"/>
        <v>3.8594421767998317</v>
      </c>
      <c r="I176" s="1">
        <f t="shared" si="19"/>
        <v>4.8132308111035997E-8</v>
      </c>
      <c r="L176" s="1">
        <f t="shared" si="20"/>
        <v>19.000133315104016</v>
      </c>
      <c r="N176" s="1">
        <f t="shared" si="21"/>
        <v>4.8928384579383205E-159</v>
      </c>
      <c r="Q176" s="1">
        <f t="shared" si="22"/>
        <v>0</v>
      </c>
      <c r="S176" s="1">
        <f t="shared" si="23"/>
        <v>1.3479495419577973E-161</v>
      </c>
      <c r="V176" s="1">
        <f t="shared" si="24"/>
        <v>1.0406112877297279E+98</v>
      </c>
      <c r="Z176" s="1">
        <f t="shared" si="25"/>
        <v>0</v>
      </c>
      <c r="AC176" s="1">
        <f t="shared" si="26"/>
        <v>0</v>
      </c>
      <c r="AF176" s="1">
        <f t="shared" si="10"/>
        <v>1.0001800340855946</v>
      </c>
      <c r="AI176" s="1">
        <f t="shared" si="11"/>
        <v>2.400535684630832E-8</v>
      </c>
      <c r="AK176" s="1">
        <f t="shared" si="12"/>
        <v>2.400535684630832E-6</v>
      </c>
      <c r="AM176" s="1">
        <f t="shared" si="13"/>
        <v>7.1800668533325003E-6</v>
      </c>
      <c r="AO176" s="1">
        <f t="shared" si="14"/>
        <v>7.1800668533325003E-6</v>
      </c>
      <c r="AQ176" s="1">
        <f t="shared" si="15"/>
        <v>7.1800668533325008E-9</v>
      </c>
    </row>
    <row r="177" spans="2:43" x14ac:dyDescent="0.25">
      <c r="B177" s="1">
        <f t="shared" si="16"/>
        <v>1280</v>
      </c>
      <c r="D177" s="1">
        <f t="shared" si="17"/>
        <v>0.99747374636306974</v>
      </c>
      <c r="F177" s="1">
        <f t="shared" si="18"/>
        <v>4.1622559995659154</v>
      </c>
      <c r="I177" s="1">
        <f t="shared" si="19"/>
        <v>3.9489205566594953E-9</v>
      </c>
      <c r="L177" s="1">
        <f t="shared" si="20"/>
        <v>19.302947137870099</v>
      </c>
      <c r="N177" s="1">
        <f t="shared" si="21"/>
        <v>4.4203853661773834E-164</v>
      </c>
      <c r="Q177" s="1">
        <f t="shared" si="22"/>
        <v>0</v>
      </c>
      <c r="S177" s="1">
        <f t="shared" si="23"/>
        <v>1.1093019894641495E-166</v>
      </c>
      <c r="V177" s="1">
        <f t="shared" si="24"/>
        <v>1.0406112877297279E+98</v>
      </c>
      <c r="Z177" s="1">
        <f t="shared" si="25"/>
        <v>0</v>
      </c>
      <c r="AC177" s="1">
        <f t="shared" si="26"/>
        <v>0</v>
      </c>
      <c r="AF177" s="1">
        <f t="shared" si="10"/>
        <v>1.0001976661359855</v>
      </c>
      <c r="AI177" s="1">
        <f t="shared" si="11"/>
        <v>1.9694722908706426E-9</v>
      </c>
      <c r="AK177" s="1">
        <f t="shared" si="12"/>
        <v>1.9694722908706427E-7</v>
      </c>
      <c r="AM177" s="1">
        <f t="shared" si="13"/>
        <v>5.8907446386958415E-7</v>
      </c>
      <c r="AO177" s="1">
        <f t="shared" si="14"/>
        <v>5.8907446386958415E-7</v>
      </c>
      <c r="AQ177" s="1">
        <f t="shared" si="15"/>
        <v>5.8907446386958423E-10</v>
      </c>
    </row>
    <row r="178" spans="2:43" x14ac:dyDescent="0.25">
      <c r="B178" s="1">
        <f t="shared" si="16"/>
        <v>1300</v>
      </c>
      <c r="D178" s="1">
        <f t="shared" ref="D178:D209" si="27">EXP(-0.693/$M$6*$M$19)</f>
        <v>0.99747374636306974</v>
      </c>
      <c r="F178" s="1">
        <f t="shared" ref="F178:F209" si="28">(B178-$M$13-($I$33*$M$19))/POWER(4*$T$33*$M$19,0.5)</f>
        <v>4.4650698223319987</v>
      </c>
      <c r="I178" s="1">
        <f t="shared" ref="I178:I209" si="29">IF(F178&gt;0,ERFC(IF(F178&lt;27,F178,27)),1+ERF(IF(-F178&lt;27,-F178,27)))</f>
        <v>2.7092716726952583E-10</v>
      </c>
      <c r="L178" s="1">
        <f t="shared" ref="L178:L209" si="30">(B178-($M$19*$I$33))/POWER(4*$T$33*$M$19,0.5)</f>
        <v>19.605760960636186</v>
      </c>
      <c r="N178" s="1">
        <f t="shared" ref="N178:N209" si="31">IF(L178&gt;0,ERFC(IF(L178&lt;27,L178,27)),1+ERF(IF(-L178&lt;27,-L178,27)))</f>
        <v>3.3252102485541057E-169</v>
      </c>
      <c r="Q178" s="1">
        <f t="shared" ref="Q178:Q209" si="32">IF((B178+$M$13+$I$33*$M$19)/POWER(4*$T$33*$M$19,0.5)&gt;27,ERFC(27),ERFC((B178+$M$13+$I$33*$M$19)/POWER(4*$T$33*$M$19,0.5)))</f>
        <v>0</v>
      </c>
      <c r="S178" s="1">
        <f t="shared" ref="S178:S209" si="33">IF((B178+$I$33*$M$19)/(POWER(4*$T$33*$M$19,0.5))&gt;27,ERFC(27),ERFC((B178+$I$33*$M$19)/(POWER(4*$T$33*$M$19,0.5))))</f>
        <v>7.6012323666396918E-172</v>
      </c>
      <c r="V178" s="1">
        <f t="shared" ref="V178:V209" si="34">(2+$I$33/$C$39)*EXP(IF(($C$39*($C$39+$I$33)*$M$19+($C$39+$I$33)*B178)/$T$33&gt;225,225,($C$39*($C$39+$I$33)*$M$19+($C$39+$I$33)*B178)/$T$33))</f>
        <v>1.0406112877297279E+98</v>
      </c>
      <c r="Z178" s="1">
        <f t="shared" ref="Z178:Z209" si="35">IF((B178+((2*$C$39+$I$33)*$M$19))/POWER(4*$T$33*$M$19,0.5)&gt;27,ERFC(27),ERFC((B178+((2*$C$39+$I$33)*$M$19))/POWER(4*$T$33*$M$19,0.5)))</f>
        <v>0</v>
      </c>
      <c r="AC178" s="1">
        <f t="shared" ref="AC178:AC209" si="36">IF((B178+$M$13+((2*$C$39+$I$33)*$M$19))/POWER(4*$T$33*$M$19,0.5)&gt;27,ERFC(27),ERFC((B178+$M$13+((2*$C$39+$I$33)*$M$19))/POWER(4*$T$33*$M$19,0.5)))</f>
        <v>0</v>
      </c>
      <c r="AF178" s="1">
        <f t="shared" si="10"/>
        <v>1.0002170250216031</v>
      </c>
      <c r="AI178" s="1">
        <f t="shared" si="11"/>
        <v>1.3512136826393398E-10</v>
      </c>
      <c r="AK178" s="1">
        <f t="shared" si="12"/>
        <v>1.3512136826393399E-8</v>
      </c>
      <c r="AM178" s="1">
        <f t="shared" si="13"/>
        <v>4.0415164984227517E-8</v>
      </c>
      <c r="AO178" s="1">
        <f t="shared" si="14"/>
        <v>4.0415164984227517E-8</v>
      </c>
      <c r="AQ178" s="1">
        <f t="shared" si="15"/>
        <v>4.0415164984227522E-11</v>
      </c>
    </row>
    <row r="179" spans="2:43" x14ac:dyDescent="0.25">
      <c r="B179" s="1">
        <f t="shared" si="16"/>
        <v>1320</v>
      </c>
      <c r="D179" s="1">
        <f t="shared" si="27"/>
        <v>0.99747374636306974</v>
      </c>
      <c r="F179" s="1">
        <f t="shared" si="28"/>
        <v>4.7678836450980828</v>
      </c>
      <c r="I179" s="1">
        <f t="shared" si="29"/>
        <v>1.5535689320451073E-11</v>
      </c>
      <c r="L179" s="1">
        <f t="shared" si="30"/>
        <v>19.908574783402269</v>
      </c>
      <c r="N179" s="1">
        <f t="shared" si="31"/>
        <v>2.0827377331626818E-174</v>
      </c>
      <c r="Q179" s="1">
        <f t="shared" si="32"/>
        <v>0</v>
      </c>
      <c r="S179" s="1">
        <f t="shared" si="33"/>
        <v>4.3368373627828959E-177</v>
      </c>
      <c r="V179" s="1">
        <f t="shared" si="34"/>
        <v>1.0406112877297279E+98</v>
      </c>
      <c r="Z179" s="1">
        <f t="shared" si="35"/>
        <v>0</v>
      </c>
      <c r="AC179" s="1">
        <f t="shared" si="36"/>
        <v>0</v>
      </c>
      <c r="AF179" s="1">
        <f t="shared" ref="AF179:AF242" si="37">1+($I$33/$C$39)*EXP($I$33*B179/$T$33)</f>
        <v>1.000238279864009</v>
      </c>
      <c r="AI179" s="1">
        <f t="shared" ref="AI179:AI242" si="38">0.5*D179*((I179-N179)+(AF179)*(Q179-S179)+V179*(Z179-($R$81*AC179)))</f>
        <v>7.7482211144015324E-12</v>
      </c>
      <c r="AK179" s="1">
        <f t="shared" ref="AK179:AK242" si="39">$M$4*AI179</f>
        <v>7.748221114401532E-10</v>
      </c>
      <c r="AM179" s="1">
        <f t="shared" ref="AM179:AM242" si="40">AI179*$M$25</f>
        <v>2.3175137929416353E-9</v>
      </c>
      <c r="AO179" s="1">
        <f t="shared" ref="AO179:AO242" si="41">AI179*$M$26</f>
        <v>2.3175137929416353E-9</v>
      </c>
      <c r="AQ179" s="1">
        <f t="shared" ref="AQ179:AQ242" si="42">AI179*$M$27</f>
        <v>2.3175137929416356E-12</v>
      </c>
    </row>
    <row r="180" spans="2:43" x14ac:dyDescent="0.25">
      <c r="B180" s="1">
        <f t="shared" ref="B180:B243" si="43">B179+$M$17/150</f>
        <v>1340</v>
      </c>
      <c r="D180" s="1">
        <f t="shared" si="27"/>
        <v>0.99747374636306974</v>
      </c>
      <c r="F180" s="1">
        <f t="shared" si="28"/>
        <v>5.070697467864167</v>
      </c>
      <c r="I180" s="1">
        <f t="shared" si="29"/>
        <v>7.4425186889075697E-13</v>
      </c>
      <c r="L180" s="1">
        <f t="shared" si="30"/>
        <v>20.211388606168352</v>
      </c>
      <c r="N180" s="1">
        <f t="shared" si="31"/>
        <v>1.0861841875994921E-179</v>
      </c>
      <c r="Q180" s="1">
        <f t="shared" si="32"/>
        <v>0</v>
      </c>
      <c r="S180" s="1">
        <f t="shared" si="33"/>
        <v>2.0602226708241977E-182</v>
      </c>
      <c r="V180" s="1">
        <f t="shared" si="34"/>
        <v>1.0406112877297279E+98</v>
      </c>
      <c r="Z180" s="1">
        <f t="shared" si="35"/>
        <v>0</v>
      </c>
      <c r="AC180" s="1">
        <f t="shared" si="36"/>
        <v>0</v>
      </c>
      <c r="AF180" s="1">
        <f t="shared" si="37"/>
        <v>1.0002616163480724</v>
      </c>
      <c r="AI180" s="1">
        <f t="shared" si="38"/>
        <v>3.7118584995008975E-13</v>
      </c>
      <c r="AK180" s="1">
        <f t="shared" si="39"/>
        <v>3.7118584995008974E-11</v>
      </c>
      <c r="AM180" s="1">
        <f t="shared" si="40"/>
        <v>1.1102268692425418E-10</v>
      </c>
      <c r="AO180" s="1">
        <f t="shared" si="41"/>
        <v>1.1102268692425418E-10</v>
      </c>
      <c r="AQ180" s="1">
        <f t="shared" si="42"/>
        <v>1.1102268692425419E-13</v>
      </c>
    </row>
    <row r="181" spans="2:43" x14ac:dyDescent="0.25">
      <c r="B181" s="1">
        <f t="shared" si="43"/>
        <v>1360</v>
      </c>
      <c r="D181" s="1">
        <f t="shared" si="27"/>
        <v>0.99747374636306974</v>
      </c>
      <c r="F181" s="1">
        <f t="shared" si="28"/>
        <v>5.3735112906302502</v>
      </c>
      <c r="I181" s="1">
        <f t="shared" si="29"/>
        <v>2.9775398853254298E-14</v>
      </c>
      <c r="L181" s="1">
        <f t="shared" si="30"/>
        <v>20.514202428934436</v>
      </c>
      <c r="N181" s="1">
        <f t="shared" si="31"/>
        <v>4.7165325736490981E-185</v>
      </c>
      <c r="Q181" s="1">
        <f t="shared" si="32"/>
        <v>0</v>
      </c>
      <c r="S181" s="1">
        <f t="shared" si="33"/>
        <v>8.1489979478912497E-188</v>
      </c>
      <c r="V181" s="1">
        <f t="shared" si="34"/>
        <v>1.0406112877297279E+98</v>
      </c>
      <c r="Z181" s="1">
        <f t="shared" si="35"/>
        <v>0</v>
      </c>
      <c r="AC181" s="1">
        <f t="shared" si="36"/>
        <v>0</v>
      </c>
      <c r="AF181" s="1">
        <f t="shared" si="37"/>
        <v>1.0002872383441355</v>
      </c>
      <c r="AI181" s="1">
        <f t="shared" si="38"/>
        <v>1.4850089321805107E-14</v>
      </c>
      <c r="AK181" s="1">
        <f t="shared" si="39"/>
        <v>1.4850089321805107E-12</v>
      </c>
      <c r="AM181" s="1">
        <f t="shared" si="40"/>
        <v>4.4417016914671317E-12</v>
      </c>
      <c r="AO181" s="1">
        <f t="shared" si="41"/>
        <v>4.4417016914671317E-12</v>
      </c>
      <c r="AQ181" s="1">
        <f t="shared" si="42"/>
        <v>4.4417016914671315E-15</v>
      </c>
    </row>
    <row r="182" spans="2:43" x14ac:dyDescent="0.25">
      <c r="B182" s="1">
        <f t="shared" si="43"/>
        <v>1380</v>
      </c>
      <c r="D182" s="1">
        <f t="shared" si="27"/>
        <v>0.99747374636306974</v>
      </c>
      <c r="F182" s="1">
        <f t="shared" si="28"/>
        <v>5.6763251133963344</v>
      </c>
      <c r="I182" s="1">
        <f t="shared" si="29"/>
        <v>9.9449824486153914E-16</v>
      </c>
      <c r="L182" s="1">
        <f t="shared" si="30"/>
        <v>20.817016251700519</v>
      </c>
      <c r="N182" s="1">
        <f t="shared" si="31"/>
        <v>1.7052570533938502E-190</v>
      </c>
      <c r="Q182" s="1">
        <f t="shared" si="32"/>
        <v>0</v>
      </c>
      <c r="S182" s="1">
        <f t="shared" si="33"/>
        <v>2.6837405077618897E-193</v>
      </c>
      <c r="V182" s="1">
        <f t="shared" si="34"/>
        <v>1.0406112877297279E+98</v>
      </c>
      <c r="Z182" s="1">
        <f t="shared" si="35"/>
        <v>0</v>
      </c>
      <c r="AC182" s="1">
        <f t="shared" si="36"/>
        <v>0</v>
      </c>
      <c r="AF182" s="1">
        <f t="shared" si="37"/>
        <v>1.0003153696890488</v>
      </c>
      <c r="AI182" s="1">
        <f t="shared" si="38"/>
        <v>4.9599294502676848E-16</v>
      </c>
      <c r="AK182" s="1">
        <f t="shared" si="39"/>
        <v>4.9599294502676847E-14</v>
      </c>
      <c r="AM182" s="1">
        <f t="shared" si="40"/>
        <v>1.4835282503293178E-13</v>
      </c>
      <c r="AO182" s="1">
        <f t="shared" si="41"/>
        <v>1.4835282503293178E-13</v>
      </c>
      <c r="AQ182" s="1">
        <f t="shared" si="42"/>
        <v>1.4835282503293178E-16</v>
      </c>
    </row>
    <row r="183" spans="2:43" x14ac:dyDescent="0.25">
      <c r="B183" s="1">
        <f t="shared" si="43"/>
        <v>1400</v>
      </c>
      <c r="D183" s="1">
        <f t="shared" si="27"/>
        <v>0.99747374636306974</v>
      </c>
      <c r="F183" s="1">
        <f t="shared" si="28"/>
        <v>5.9791389361624177</v>
      </c>
      <c r="I183" s="1">
        <f t="shared" si="29"/>
        <v>2.7722934971113607E-17</v>
      </c>
      <c r="L183" s="1">
        <f t="shared" si="30"/>
        <v>21.119830074466602</v>
      </c>
      <c r="N183" s="1">
        <f t="shared" si="31"/>
        <v>5.1333612705891105E-196</v>
      </c>
      <c r="Q183" s="1">
        <f t="shared" si="32"/>
        <v>0</v>
      </c>
      <c r="S183" s="1">
        <f t="shared" si="33"/>
        <v>7.3590281445074816E-199</v>
      </c>
      <c r="V183" s="1">
        <f t="shared" si="34"/>
        <v>1.0406112877297279E+98</v>
      </c>
      <c r="Z183" s="1">
        <f t="shared" si="35"/>
        <v>0</v>
      </c>
      <c r="AC183" s="1">
        <f t="shared" si="36"/>
        <v>0</v>
      </c>
      <c r="AF183" s="1">
        <f t="shared" si="37"/>
        <v>1.0003462561416376</v>
      </c>
      <c r="AI183" s="1">
        <f t="shared" si="38"/>
        <v>1.3826449902908226E-17</v>
      </c>
      <c r="AK183" s="1">
        <f t="shared" si="39"/>
        <v>1.3826449902908225E-15</v>
      </c>
      <c r="AM183" s="1">
        <f t="shared" si="40"/>
        <v>4.1355283857153224E-15</v>
      </c>
      <c r="AO183" s="1">
        <f t="shared" si="41"/>
        <v>4.1355283857153224E-15</v>
      </c>
      <c r="AQ183" s="1">
        <f t="shared" si="42"/>
        <v>4.1355283857153225E-18</v>
      </c>
    </row>
    <row r="184" spans="2:43" x14ac:dyDescent="0.25">
      <c r="B184" s="1">
        <f t="shared" si="43"/>
        <v>1420</v>
      </c>
      <c r="D184" s="1">
        <f t="shared" si="27"/>
        <v>0.99747374636306974</v>
      </c>
      <c r="F184" s="1">
        <f t="shared" si="28"/>
        <v>6.2819527589285018</v>
      </c>
      <c r="I184" s="1">
        <f t="shared" si="29"/>
        <v>6.4485070820049548E-19</v>
      </c>
      <c r="L184" s="1">
        <f t="shared" si="30"/>
        <v>21.422643897232685</v>
      </c>
      <c r="N184" s="1">
        <f t="shared" si="31"/>
        <v>1.2866374312100464E-201</v>
      </c>
      <c r="Q184" s="1">
        <f t="shared" si="32"/>
        <v>0</v>
      </c>
      <c r="S184" s="1">
        <f t="shared" si="33"/>
        <v>1.6801246746916282E-204</v>
      </c>
      <c r="V184" s="1">
        <f t="shared" si="34"/>
        <v>1.0406112877297279E+98</v>
      </c>
      <c r="Z184" s="1">
        <f t="shared" si="35"/>
        <v>0</v>
      </c>
      <c r="AC184" s="1">
        <f t="shared" si="36"/>
        <v>0</v>
      </c>
      <c r="AF184" s="1">
        <f t="shared" si="37"/>
        <v>1.0003801675296804</v>
      </c>
      <c r="AI184" s="1">
        <f t="shared" si="38"/>
        <v>3.2161082587681346E-19</v>
      </c>
      <c r="AK184" s="1">
        <f t="shared" si="39"/>
        <v>3.2161082587681345E-17</v>
      </c>
      <c r="AM184" s="1">
        <f t="shared" si="40"/>
        <v>9.6194663771728868E-17</v>
      </c>
      <c r="AO184" s="1">
        <f t="shared" si="41"/>
        <v>9.6194663771728868E-17</v>
      </c>
      <c r="AQ184" s="1">
        <f t="shared" si="42"/>
        <v>9.6194663771728871E-20</v>
      </c>
    </row>
    <row r="185" spans="2:43" x14ac:dyDescent="0.25">
      <c r="B185" s="1">
        <f t="shared" si="43"/>
        <v>1440</v>
      </c>
      <c r="D185" s="1">
        <f t="shared" si="27"/>
        <v>0.99747374636306974</v>
      </c>
      <c r="F185" s="1">
        <f t="shared" si="28"/>
        <v>6.5847665816945851</v>
      </c>
      <c r="I185" s="1">
        <f t="shared" si="29"/>
        <v>1.2513343316037206E-20</v>
      </c>
      <c r="L185" s="1">
        <f t="shared" si="30"/>
        <v>21.725457719998769</v>
      </c>
      <c r="N185" s="1">
        <f t="shared" si="31"/>
        <v>2.6850380050734133E-207</v>
      </c>
      <c r="Q185" s="1">
        <f t="shared" si="32"/>
        <v>0</v>
      </c>
      <c r="S185" s="1">
        <f t="shared" si="33"/>
        <v>3.1937523608715384E-210</v>
      </c>
      <c r="V185" s="1">
        <f t="shared" si="34"/>
        <v>1.0406112877297279E+98</v>
      </c>
      <c r="Z185" s="1">
        <f t="shared" si="35"/>
        <v>0</v>
      </c>
      <c r="AC185" s="1">
        <f t="shared" si="36"/>
        <v>0</v>
      </c>
      <c r="AF185" s="1">
        <f t="shared" si="37"/>
        <v>1.0004174001071571</v>
      </c>
      <c r="AI185" s="1">
        <f t="shared" si="38"/>
        <v>6.2408657184874551E-21</v>
      </c>
      <c r="AK185" s="1">
        <f t="shared" si="39"/>
        <v>6.2408657184874555E-19</v>
      </c>
      <c r="AM185" s="1">
        <f t="shared" si="40"/>
        <v>1.8666597363372252E-18</v>
      </c>
      <c r="AO185" s="1">
        <f t="shared" si="41"/>
        <v>1.8666597363372252E-18</v>
      </c>
      <c r="AQ185" s="1">
        <f t="shared" si="42"/>
        <v>1.8666597363372253E-21</v>
      </c>
    </row>
    <row r="186" spans="2:43" x14ac:dyDescent="0.25">
      <c r="B186" s="1">
        <f t="shared" si="43"/>
        <v>1460</v>
      </c>
      <c r="D186" s="1">
        <f t="shared" si="27"/>
        <v>0.99747374636306974</v>
      </c>
      <c r="F186" s="1">
        <f t="shared" si="28"/>
        <v>6.8875804044606692</v>
      </c>
      <c r="I186" s="1">
        <f t="shared" si="29"/>
        <v>2.0253606838218975E-22</v>
      </c>
      <c r="L186" s="1">
        <f t="shared" si="30"/>
        <v>22.028271542764855</v>
      </c>
      <c r="N186" s="1">
        <f t="shared" si="31"/>
        <v>4.6653284431204175E-213</v>
      </c>
      <c r="Q186" s="1">
        <f t="shared" si="32"/>
        <v>0</v>
      </c>
      <c r="S186" s="1">
        <f t="shared" si="33"/>
        <v>5.0547226045622647E-216</v>
      </c>
      <c r="V186" s="1">
        <f t="shared" si="34"/>
        <v>1.0406112877297279E+98</v>
      </c>
      <c r="Z186" s="1">
        <f t="shared" si="35"/>
        <v>0</v>
      </c>
      <c r="AC186" s="1">
        <f t="shared" si="36"/>
        <v>0</v>
      </c>
      <c r="AF186" s="1">
        <f t="shared" si="37"/>
        <v>1.0004582791423591</v>
      </c>
      <c r="AI186" s="1">
        <f t="shared" si="38"/>
        <v>1.0101220545141485E-22</v>
      </c>
      <c r="AK186" s="1">
        <f t="shared" si="39"/>
        <v>1.0101220545141485E-20</v>
      </c>
      <c r="AM186" s="1">
        <f t="shared" si="40"/>
        <v>3.0213022567721294E-20</v>
      </c>
      <c r="AO186" s="1">
        <f t="shared" si="41"/>
        <v>3.0213022567721294E-20</v>
      </c>
      <c r="AQ186" s="1">
        <f t="shared" si="42"/>
        <v>3.0213022567721301E-23</v>
      </c>
    </row>
    <row r="187" spans="2:43" x14ac:dyDescent="0.25">
      <c r="B187" s="1">
        <f t="shared" si="43"/>
        <v>1480</v>
      </c>
      <c r="D187" s="1">
        <f t="shared" si="27"/>
        <v>0.99747374636306974</v>
      </c>
      <c r="F187" s="1">
        <f t="shared" si="28"/>
        <v>7.1903942272267525</v>
      </c>
      <c r="I187" s="1">
        <f t="shared" si="29"/>
        <v>2.7338603681185703E-24</v>
      </c>
      <c r="L187" s="1">
        <f t="shared" si="30"/>
        <v>22.331085365530939</v>
      </c>
      <c r="N187" s="1">
        <f t="shared" si="31"/>
        <v>6.7491528845664348E-219</v>
      </c>
      <c r="Q187" s="1">
        <f t="shared" si="32"/>
        <v>0</v>
      </c>
      <c r="S187" s="1">
        <f t="shared" si="33"/>
        <v>6.6608176972468909E-222</v>
      </c>
      <c r="V187" s="1">
        <f t="shared" si="34"/>
        <v>1.0406112877297279E+98</v>
      </c>
      <c r="Z187" s="1">
        <f t="shared" si="35"/>
        <v>0</v>
      </c>
      <c r="AC187" s="1">
        <f t="shared" si="36"/>
        <v>0</v>
      </c>
      <c r="AF187" s="1">
        <f t="shared" si="37"/>
        <v>1.0005031617594731</v>
      </c>
      <c r="AI187" s="1">
        <f t="shared" si="38"/>
        <v>1.3634769717103756E-24</v>
      </c>
      <c r="AK187" s="1">
        <f t="shared" si="39"/>
        <v>1.3634769717103756E-22</v>
      </c>
      <c r="AM187" s="1">
        <f t="shared" si="40"/>
        <v>4.0781963261526695E-22</v>
      </c>
      <c r="AO187" s="1">
        <f t="shared" si="41"/>
        <v>4.0781963261526695E-22</v>
      </c>
      <c r="AQ187" s="1">
        <f t="shared" si="42"/>
        <v>4.07819632615267E-25</v>
      </c>
    </row>
    <row r="188" spans="2:43" x14ac:dyDescent="0.25">
      <c r="B188" s="1">
        <f t="shared" si="43"/>
        <v>1500</v>
      </c>
      <c r="D188" s="1">
        <f t="shared" si="27"/>
        <v>0.99747374636306974</v>
      </c>
      <c r="F188" s="1">
        <f t="shared" si="28"/>
        <v>7.4932080499928366</v>
      </c>
      <c r="I188" s="1">
        <f t="shared" si="29"/>
        <v>3.0770416106491312E-26</v>
      </c>
      <c r="L188" s="1">
        <f t="shared" si="30"/>
        <v>22.633899188297022</v>
      </c>
      <c r="N188" s="1">
        <f t="shared" si="31"/>
        <v>8.1292294059624925E-225</v>
      </c>
      <c r="Q188" s="1">
        <f t="shared" si="32"/>
        <v>0</v>
      </c>
      <c r="S188" s="1">
        <f t="shared" si="33"/>
        <v>7.3078522719255567E-228</v>
      </c>
      <c r="V188" s="1">
        <f t="shared" si="34"/>
        <v>1.0406112877297279E+98</v>
      </c>
      <c r="Z188" s="1">
        <f t="shared" si="35"/>
        <v>0</v>
      </c>
      <c r="AC188" s="1">
        <f t="shared" si="36"/>
        <v>0</v>
      </c>
      <c r="AF188" s="1">
        <f t="shared" si="37"/>
        <v>1.0005524400584604</v>
      </c>
      <c r="AI188" s="1">
        <f t="shared" si="38"/>
        <v>1.5346341115446216E-26</v>
      </c>
      <c r="AK188" s="1">
        <f t="shared" si="39"/>
        <v>1.5346341115446215E-24</v>
      </c>
      <c r="AM188" s="1">
        <f t="shared" si="40"/>
        <v>4.5901319388174135E-24</v>
      </c>
      <c r="AO188" s="1">
        <f t="shared" si="41"/>
        <v>4.5901319388174135E-24</v>
      </c>
      <c r="AQ188" s="1">
        <f t="shared" si="42"/>
        <v>4.5901319388174136E-27</v>
      </c>
    </row>
    <row r="189" spans="2:43" x14ac:dyDescent="0.25">
      <c r="B189" s="1">
        <f t="shared" si="43"/>
        <v>1520</v>
      </c>
      <c r="D189" s="1">
        <f t="shared" si="27"/>
        <v>0.99747374636306974</v>
      </c>
      <c r="F189" s="1">
        <f t="shared" si="28"/>
        <v>7.7960218727589208</v>
      </c>
      <c r="I189" s="1">
        <f t="shared" si="29"/>
        <v>2.8874768852255929E-28</v>
      </c>
      <c r="L189" s="1">
        <f t="shared" si="30"/>
        <v>22.936713011063105</v>
      </c>
      <c r="N189" s="1">
        <f t="shared" si="31"/>
        <v>8.1523058754053981E-231</v>
      </c>
      <c r="Q189" s="1">
        <f t="shared" si="32"/>
        <v>0</v>
      </c>
      <c r="S189" s="1">
        <f t="shared" si="33"/>
        <v>6.6754709104026152E-234</v>
      </c>
      <c r="V189" s="1">
        <f t="shared" si="34"/>
        <v>1.0406112877297279E+98</v>
      </c>
      <c r="Z189" s="1">
        <f t="shared" si="35"/>
        <v>0</v>
      </c>
      <c r="AC189" s="1">
        <f t="shared" si="36"/>
        <v>0</v>
      </c>
      <c r="AF189" s="1">
        <f t="shared" si="37"/>
        <v>1.0006065445404901</v>
      </c>
      <c r="AI189" s="1">
        <f t="shared" si="38"/>
        <v>1.4400911931213698E-28</v>
      </c>
      <c r="AK189" s="1">
        <f t="shared" si="39"/>
        <v>1.4400911931213697E-26</v>
      </c>
      <c r="AM189" s="1">
        <f t="shared" si="40"/>
        <v>4.307351524789741E-26</v>
      </c>
      <c r="AO189" s="1">
        <f t="shared" si="41"/>
        <v>4.307351524789741E-26</v>
      </c>
      <c r="AQ189" s="1">
        <f t="shared" si="42"/>
        <v>4.3073515247897416E-29</v>
      </c>
    </row>
    <row r="190" spans="2:43" x14ac:dyDescent="0.25">
      <c r="B190" s="1">
        <f t="shared" si="43"/>
        <v>1540</v>
      </c>
      <c r="D190" s="1">
        <f t="shared" si="27"/>
        <v>0.99747374636306974</v>
      </c>
      <c r="F190" s="1">
        <f t="shared" si="28"/>
        <v>8.098835695525004</v>
      </c>
      <c r="I190" s="1">
        <f t="shared" si="29"/>
        <v>2.2588255788178081E-30</v>
      </c>
      <c r="L190" s="1">
        <f t="shared" si="30"/>
        <v>23.239526833829188</v>
      </c>
      <c r="N190" s="1">
        <f t="shared" si="31"/>
        <v>6.8067611252431416E-237</v>
      </c>
      <c r="Q190" s="1">
        <f t="shared" si="32"/>
        <v>0</v>
      </c>
      <c r="S190" s="1">
        <f t="shared" si="33"/>
        <v>5.0769398273697367E-240</v>
      </c>
      <c r="V190" s="1">
        <f t="shared" si="34"/>
        <v>1.0406112877297279E+98</v>
      </c>
      <c r="Z190" s="1">
        <f t="shared" si="35"/>
        <v>0</v>
      </c>
      <c r="AC190" s="1">
        <f t="shared" si="36"/>
        <v>0</v>
      </c>
      <c r="AF190" s="1">
        <f t="shared" si="37"/>
        <v>1.0006659478688484</v>
      </c>
      <c r="AI190" s="1">
        <f t="shared" si="38"/>
        <v>1.1265596062420643E-30</v>
      </c>
      <c r="AK190" s="1">
        <f t="shared" si="39"/>
        <v>1.1265596062420643E-28</v>
      </c>
      <c r="AM190" s="1">
        <f t="shared" si="40"/>
        <v>3.3695701084009905E-28</v>
      </c>
      <c r="AO190" s="1">
        <f t="shared" si="41"/>
        <v>3.3695701084009905E-28</v>
      </c>
      <c r="AQ190" s="1">
        <f t="shared" si="42"/>
        <v>3.3695701084009911E-31</v>
      </c>
    </row>
    <row r="191" spans="2:43" x14ac:dyDescent="0.25">
      <c r="B191" s="1">
        <f t="shared" si="43"/>
        <v>1560</v>
      </c>
      <c r="D191" s="1">
        <f t="shared" si="27"/>
        <v>0.99747374636306974</v>
      </c>
      <c r="F191" s="1">
        <f t="shared" si="28"/>
        <v>8.4016495182910891</v>
      </c>
      <c r="I191" s="1">
        <f t="shared" si="29"/>
        <v>1.4729294229845846E-32</v>
      </c>
      <c r="L191" s="1">
        <f t="shared" si="30"/>
        <v>23.542340656595272</v>
      </c>
      <c r="N191" s="1">
        <f t="shared" si="31"/>
        <v>4.7318129930462387E-243</v>
      </c>
      <c r="Q191" s="1">
        <f t="shared" si="32"/>
        <v>0</v>
      </c>
      <c r="S191" s="1">
        <f t="shared" si="33"/>
        <v>3.2147572499702691E-246</v>
      </c>
      <c r="V191" s="1">
        <f t="shared" si="34"/>
        <v>1.0406112877297279E+98</v>
      </c>
      <c r="Z191" s="1">
        <f t="shared" si="35"/>
        <v>0</v>
      </c>
      <c r="AC191" s="1">
        <f t="shared" si="36"/>
        <v>0</v>
      </c>
      <c r="AF191" s="1">
        <f t="shared" si="37"/>
        <v>1.0007311689981837</v>
      </c>
      <c r="AI191" s="1">
        <f t="shared" si="38"/>
        <v>7.3460421483641412E-33</v>
      </c>
      <c r="AK191" s="1">
        <f t="shared" si="39"/>
        <v>7.3460421483641407E-31</v>
      </c>
      <c r="AM191" s="1">
        <f t="shared" si="40"/>
        <v>2.197220981564549E-30</v>
      </c>
      <c r="AO191" s="1">
        <f t="shared" si="41"/>
        <v>2.197220981564549E-30</v>
      </c>
      <c r="AQ191" s="1">
        <f t="shared" si="42"/>
        <v>2.1972209815645493E-33</v>
      </c>
    </row>
    <row r="192" spans="2:43" x14ac:dyDescent="0.25">
      <c r="B192" s="1">
        <f t="shared" si="43"/>
        <v>1580</v>
      </c>
      <c r="D192" s="1">
        <f t="shared" si="27"/>
        <v>0.99747374636306974</v>
      </c>
      <c r="F192" s="1">
        <f t="shared" si="28"/>
        <v>8.7044633410571723</v>
      </c>
      <c r="I192" s="1">
        <f t="shared" si="29"/>
        <v>8.0052830023366141E-35</v>
      </c>
      <c r="L192" s="1">
        <f t="shared" si="30"/>
        <v>23.845154479361355</v>
      </c>
      <c r="N192" s="1">
        <f t="shared" si="31"/>
        <v>2.7386705352743225E-249</v>
      </c>
      <c r="Q192" s="1">
        <f t="shared" si="32"/>
        <v>0</v>
      </c>
      <c r="S192" s="1">
        <f t="shared" si="33"/>
        <v>1.6948005031674528E-252</v>
      </c>
      <c r="V192" s="1">
        <f t="shared" si="34"/>
        <v>1.0406112877297279E+98</v>
      </c>
      <c r="Z192" s="1">
        <f t="shared" si="35"/>
        <v>0</v>
      </c>
      <c r="AC192" s="1">
        <f t="shared" si="36"/>
        <v>0</v>
      </c>
      <c r="AF192" s="1">
        <f t="shared" si="37"/>
        <v>1.000802777708155</v>
      </c>
      <c r="AI192" s="1">
        <f t="shared" si="38"/>
        <v>3.9925298135186527E-35</v>
      </c>
      <c r="AK192" s="1">
        <f t="shared" si="39"/>
        <v>3.9925298135186524E-33</v>
      </c>
      <c r="AM192" s="1">
        <f t="shared" si="40"/>
        <v>1.1941764148111626E-32</v>
      </c>
      <c r="AO192" s="1">
        <f t="shared" si="41"/>
        <v>1.1941764148111626E-32</v>
      </c>
      <c r="AQ192" s="1">
        <f t="shared" si="42"/>
        <v>1.1941764148111626E-35</v>
      </c>
    </row>
    <row r="193" spans="2:43" x14ac:dyDescent="0.25">
      <c r="B193" s="1">
        <f t="shared" si="43"/>
        <v>1600</v>
      </c>
      <c r="D193" s="1">
        <f t="shared" si="27"/>
        <v>0.99747374636306974</v>
      </c>
      <c r="F193" s="1">
        <f t="shared" si="28"/>
        <v>9.0072771638232556</v>
      </c>
      <c r="I193" s="1">
        <f t="shared" si="29"/>
        <v>3.6260289067002232E-37</v>
      </c>
      <c r="L193" s="1">
        <f t="shared" si="30"/>
        <v>24.147968302127438</v>
      </c>
      <c r="N193" s="1">
        <f t="shared" si="31"/>
        <v>1.3197004539693529E-255</v>
      </c>
      <c r="Q193" s="1">
        <f t="shared" si="32"/>
        <v>0</v>
      </c>
      <c r="S193" s="1">
        <f t="shared" si="33"/>
        <v>7.4389468467807401E-259</v>
      </c>
      <c r="V193" s="1">
        <f t="shared" si="34"/>
        <v>1.0406112877297279E+98</v>
      </c>
      <c r="Z193" s="1">
        <f t="shared" si="35"/>
        <v>0</v>
      </c>
      <c r="AC193" s="1">
        <f t="shared" si="36"/>
        <v>0</v>
      </c>
      <c r="AF193" s="1">
        <f t="shared" si="37"/>
        <v>1.0008813995810975</v>
      </c>
      <c r="AI193" s="1">
        <f t="shared" si="38"/>
        <v>1.8084343189935288E-37</v>
      </c>
      <c r="AK193" s="1">
        <f t="shared" si="39"/>
        <v>1.8084343189935288E-35</v>
      </c>
      <c r="AM193" s="1">
        <f t="shared" si="40"/>
        <v>5.409075729791214E-35</v>
      </c>
      <c r="AO193" s="1">
        <f t="shared" si="41"/>
        <v>5.409075729791214E-35</v>
      </c>
      <c r="AQ193" s="1">
        <f t="shared" si="42"/>
        <v>5.4090757297912141E-38</v>
      </c>
    </row>
    <row r="194" spans="2:43" x14ac:dyDescent="0.25">
      <c r="B194" s="1">
        <f t="shared" si="43"/>
        <v>1620</v>
      </c>
      <c r="D194" s="1">
        <f t="shared" si="27"/>
        <v>0.99747374636306974</v>
      </c>
      <c r="F194" s="1">
        <f t="shared" si="28"/>
        <v>9.3100909865893389</v>
      </c>
      <c r="I194" s="1">
        <f t="shared" si="29"/>
        <v>1.3687159876186544E-39</v>
      </c>
      <c r="L194" s="1">
        <f t="shared" si="30"/>
        <v>24.450782124893525</v>
      </c>
      <c r="N194" s="1">
        <f t="shared" si="31"/>
        <v>5.2945929236906964E-262</v>
      </c>
      <c r="Q194" s="1">
        <f t="shared" si="32"/>
        <v>0</v>
      </c>
      <c r="S194" s="1">
        <f t="shared" si="33"/>
        <v>2.7184734962696636E-265</v>
      </c>
      <c r="V194" s="1">
        <f t="shared" si="34"/>
        <v>1.0406112877297279E+98</v>
      </c>
      <c r="Z194" s="1">
        <f t="shared" si="35"/>
        <v>0</v>
      </c>
      <c r="AC194" s="1">
        <f t="shared" si="36"/>
        <v>0</v>
      </c>
      <c r="AF194" s="1">
        <f t="shared" si="37"/>
        <v>1.0009677214671844</v>
      </c>
      <c r="AI194" s="1">
        <f t="shared" si="38"/>
        <v>6.8262913193850407E-40</v>
      </c>
      <c r="AK194" s="1">
        <f t="shared" si="39"/>
        <v>6.8262913193850412E-38</v>
      </c>
      <c r="AM194" s="1">
        <f t="shared" si="40"/>
        <v>2.0417621094870513E-37</v>
      </c>
      <c r="AO194" s="1">
        <f t="shared" si="41"/>
        <v>2.0417621094870513E-37</v>
      </c>
      <c r="AQ194" s="1">
        <f t="shared" si="42"/>
        <v>2.0417621094870517E-40</v>
      </c>
    </row>
    <row r="195" spans="2:43" x14ac:dyDescent="0.25">
      <c r="B195" s="1">
        <f t="shared" si="43"/>
        <v>1640</v>
      </c>
      <c r="D195" s="1">
        <f t="shared" si="27"/>
        <v>0.99747374636306974</v>
      </c>
      <c r="F195" s="1">
        <f t="shared" si="28"/>
        <v>9.6129048093554239</v>
      </c>
      <c r="I195" s="1">
        <f t="shared" si="29"/>
        <v>4.3052024427621225E-42</v>
      </c>
      <c r="L195" s="1">
        <f t="shared" si="30"/>
        <v>24.753595947659608</v>
      </c>
      <c r="N195" s="1">
        <f t="shared" si="31"/>
        <v>1.7685190865436082E-268</v>
      </c>
      <c r="Q195" s="1">
        <f t="shared" si="32"/>
        <v>0</v>
      </c>
      <c r="S195" s="1">
        <f t="shared" si="33"/>
        <v>8.2709975816788035E-272</v>
      </c>
      <c r="V195" s="1">
        <f t="shared" si="34"/>
        <v>1.0406112877297279E+98</v>
      </c>
      <c r="Z195" s="1">
        <f t="shared" si="35"/>
        <v>0</v>
      </c>
      <c r="AC195" s="1">
        <f t="shared" si="36"/>
        <v>0</v>
      </c>
      <c r="AF195" s="1">
        <f t="shared" si="37"/>
        <v>1.0010624974848339</v>
      </c>
      <c r="AI195" s="1">
        <f t="shared" si="38"/>
        <v>2.1471632047166869E-42</v>
      </c>
      <c r="AK195" s="1">
        <f t="shared" si="39"/>
        <v>2.1471632047166869E-40</v>
      </c>
      <c r="AM195" s="1">
        <f t="shared" si="40"/>
        <v>6.4222229453141198E-40</v>
      </c>
      <c r="AO195" s="1">
        <f t="shared" si="41"/>
        <v>6.4222229453141198E-40</v>
      </c>
      <c r="AQ195" s="1">
        <f t="shared" si="42"/>
        <v>6.4222229453141195E-43</v>
      </c>
    </row>
    <row r="196" spans="2:43" x14ac:dyDescent="0.25">
      <c r="B196" s="1">
        <f t="shared" si="43"/>
        <v>1660</v>
      </c>
      <c r="D196" s="1">
        <f t="shared" si="27"/>
        <v>0.99747374636306974</v>
      </c>
      <c r="F196" s="1">
        <f t="shared" si="28"/>
        <v>9.9157186321215072</v>
      </c>
      <c r="I196" s="1">
        <f t="shared" si="29"/>
        <v>1.1283536759188716E-44</v>
      </c>
      <c r="L196" s="1">
        <f t="shared" si="30"/>
        <v>25.056409770425692</v>
      </c>
      <c r="N196" s="1">
        <f t="shared" si="31"/>
        <v>4.918189871858028E-275</v>
      </c>
      <c r="Q196" s="1">
        <f t="shared" si="32"/>
        <v>0</v>
      </c>
      <c r="S196" s="1">
        <f t="shared" si="33"/>
        <v>2.0951168658840168E-278</v>
      </c>
      <c r="V196" s="1">
        <f t="shared" si="34"/>
        <v>1.0406112877297279E+98</v>
      </c>
      <c r="Z196" s="1">
        <f t="shared" si="35"/>
        <v>0</v>
      </c>
      <c r="AC196" s="1">
        <f t="shared" si="36"/>
        <v>0</v>
      </c>
      <c r="AF196" s="1">
        <f t="shared" si="37"/>
        <v>1.0011665556087774</v>
      </c>
      <c r="AI196" s="1">
        <f t="shared" si="38"/>
        <v>5.6275158417066888E-45</v>
      </c>
      <c r="AK196" s="1">
        <f t="shared" si="39"/>
        <v>5.627515841706689E-43</v>
      </c>
      <c r="AM196" s="1">
        <f t="shared" si="40"/>
        <v>1.6832051371007048E-42</v>
      </c>
      <c r="AO196" s="1">
        <f t="shared" si="41"/>
        <v>1.6832051371007048E-42</v>
      </c>
      <c r="AQ196" s="1">
        <f t="shared" si="42"/>
        <v>1.683205137100705E-45</v>
      </c>
    </row>
    <row r="197" spans="2:43" x14ac:dyDescent="0.25">
      <c r="B197" s="1">
        <f t="shared" si="43"/>
        <v>1680</v>
      </c>
      <c r="D197" s="1">
        <f t="shared" si="27"/>
        <v>0.99747374636306974</v>
      </c>
      <c r="F197" s="1">
        <f t="shared" si="28"/>
        <v>10.21853245488759</v>
      </c>
      <c r="I197" s="1">
        <f t="shared" si="29"/>
        <v>2.4640183730410932E-47</v>
      </c>
      <c r="L197" s="1">
        <f t="shared" si="30"/>
        <v>25.359223593191775</v>
      </c>
      <c r="N197" s="1">
        <f t="shared" si="31"/>
        <v>1.1387218336255316E-281</v>
      </c>
      <c r="Q197" s="1">
        <f t="shared" si="32"/>
        <v>0</v>
      </c>
      <c r="S197" s="1">
        <f t="shared" si="33"/>
        <v>4.4184979940172391E-285</v>
      </c>
      <c r="V197" s="1">
        <f t="shared" si="34"/>
        <v>1.0406112877297279E+98</v>
      </c>
      <c r="Z197" s="1">
        <f t="shared" si="35"/>
        <v>0</v>
      </c>
      <c r="AC197" s="1">
        <f t="shared" si="36"/>
        <v>0</v>
      </c>
      <c r="AF197" s="1">
        <f t="shared" si="37"/>
        <v>1.0012808049033479</v>
      </c>
      <c r="AI197" s="1">
        <f t="shared" si="38"/>
        <v>1.2288968188323675E-47</v>
      </c>
      <c r="AK197" s="1">
        <f t="shared" si="39"/>
        <v>1.2288968188323675E-45</v>
      </c>
      <c r="AM197" s="1">
        <f t="shared" si="40"/>
        <v>3.6756634660988068E-45</v>
      </c>
      <c r="AO197" s="1">
        <f t="shared" si="41"/>
        <v>3.6756634660988068E-45</v>
      </c>
      <c r="AQ197" s="1">
        <f t="shared" si="42"/>
        <v>3.6756634660988069E-48</v>
      </c>
    </row>
    <row r="198" spans="2:43" x14ac:dyDescent="0.25">
      <c r="B198" s="1">
        <f t="shared" si="43"/>
        <v>1700</v>
      </c>
      <c r="D198" s="1">
        <f t="shared" si="27"/>
        <v>0.99747374636306974</v>
      </c>
      <c r="F198" s="1">
        <f t="shared" si="28"/>
        <v>10.521346277653674</v>
      </c>
      <c r="I198" s="1">
        <f t="shared" si="29"/>
        <v>4.4829852641566138E-50</v>
      </c>
      <c r="L198" s="1">
        <f t="shared" si="30"/>
        <v>25.662037415957858</v>
      </c>
      <c r="N198" s="1">
        <f t="shared" si="31"/>
        <v>2.1950546100398537E-288</v>
      </c>
      <c r="Q198" s="1">
        <f t="shared" si="32"/>
        <v>0</v>
      </c>
      <c r="S198" s="1">
        <f t="shared" si="33"/>
        <v>7.7581050573864673E-292</v>
      </c>
      <c r="V198" s="1">
        <f t="shared" si="34"/>
        <v>1.0406112877297279E+98</v>
      </c>
      <c r="Z198" s="1">
        <f t="shared" si="35"/>
        <v>0</v>
      </c>
      <c r="AC198" s="1">
        <f t="shared" si="36"/>
        <v>0</v>
      </c>
      <c r="AF198" s="1">
        <f t="shared" si="37"/>
        <v>1.0014062434641751</v>
      </c>
      <c r="AI198" s="1">
        <f t="shared" si="38"/>
        <v>2.2358300531643666E-50</v>
      </c>
      <c r="AK198" s="1">
        <f t="shared" si="39"/>
        <v>2.2358300531643665E-48</v>
      </c>
      <c r="AM198" s="1">
        <f t="shared" si="40"/>
        <v>6.6874278758655044E-48</v>
      </c>
      <c r="AO198" s="1">
        <f t="shared" si="41"/>
        <v>6.6874278758655044E-48</v>
      </c>
      <c r="AQ198" s="1">
        <f t="shared" si="42"/>
        <v>6.6874278758655047E-51</v>
      </c>
    </row>
    <row r="199" spans="2:43" x14ac:dyDescent="0.25">
      <c r="B199" s="1">
        <f t="shared" si="43"/>
        <v>1720</v>
      </c>
      <c r="D199" s="1">
        <f t="shared" si="27"/>
        <v>0.99747374636306974</v>
      </c>
      <c r="F199" s="1">
        <f t="shared" si="28"/>
        <v>10.824160100419759</v>
      </c>
      <c r="I199" s="1">
        <f t="shared" si="29"/>
        <v>6.7950842422876904E-53</v>
      </c>
      <c r="L199" s="1">
        <f t="shared" si="30"/>
        <v>25.964851238723941</v>
      </c>
      <c r="N199" s="1">
        <f t="shared" si="31"/>
        <v>3.5227911457339618E-295</v>
      </c>
      <c r="Q199" s="1">
        <f t="shared" si="32"/>
        <v>0</v>
      </c>
      <c r="S199" s="1">
        <f t="shared" si="33"/>
        <v>1.1340960073550711E-298</v>
      </c>
      <c r="V199" s="1">
        <f t="shared" si="34"/>
        <v>1.0406112877297279E+98</v>
      </c>
      <c r="Z199" s="1">
        <f t="shared" si="35"/>
        <v>0</v>
      </c>
      <c r="AC199" s="1">
        <f t="shared" si="36"/>
        <v>0</v>
      </c>
      <c r="AF199" s="1">
        <f t="shared" si="37"/>
        <v>1.0015439671376696</v>
      </c>
      <c r="AI199" s="1">
        <f t="shared" si="38"/>
        <v>3.3889590680036818E-53</v>
      </c>
      <c r="AK199" s="1">
        <f t="shared" si="39"/>
        <v>3.3889590680036821E-51</v>
      </c>
      <c r="AM199" s="1">
        <f t="shared" si="40"/>
        <v>1.013646780060922E-50</v>
      </c>
      <c r="AO199" s="1">
        <f t="shared" si="41"/>
        <v>1.013646780060922E-50</v>
      </c>
      <c r="AQ199" s="1">
        <f t="shared" si="42"/>
        <v>1.013646780060922E-53</v>
      </c>
    </row>
    <row r="200" spans="2:43" x14ac:dyDescent="0.25">
      <c r="B200" s="1">
        <f t="shared" si="43"/>
        <v>1740</v>
      </c>
      <c r="D200" s="1">
        <f t="shared" si="27"/>
        <v>0.99747374636306974</v>
      </c>
      <c r="F200" s="1">
        <f t="shared" si="28"/>
        <v>11.126973923185842</v>
      </c>
      <c r="I200" s="1">
        <f t="shared" si="29"/>
        <v>8.5804027792954232E-56</v>
      </c>
      <c r="L200" s="1">
        <f t="shared" si="30"/>
        <v>26.267665061490025</v>
      </c>
      <c r="N200" s="1">
        <f t="shared" si="31"/>
        <v>4.706964881106957E-302</v>
      </c>
      <c r="Q200" s="1">
        <f t="shared" si="32"/>
        <v>0</v>
      </c>
      <c r="S200" s="1">
        <f t="shared" si="33"/>
        <v>1.3802437589909036E-305</v>
      </c>
      <c r="V200" s="1">
        <f t="shared" si="34"/>
        <v>1.0406112877297279E+98</v>
      </c>
      <c r="Z200" s="1">
        <f t="shared" si="35"/>
        <v>0</v>
      </c>
      <c r="AC200" s="1">
        <f t="shared" si="36"/>
        <v>0</v>
      </c>
      <c r="AF200" s="1">
        <f t="shared" si="37"/>
        <v>1.0016951790944693</v>
      </c>
      <c r="AI200" s="1">
        <f t="shared" si="38"/>
        <v>4.2793632527839511E-56</v>
      </c>
      <c r="AK200" s="1">
        <f t="shared" si="39"/>
        <v>4.2793632527839513E-54</v>
      </c>
      <c r="AM200" s="1">
        <f t="shared" si="40"/>
        <v>1.2799690686292977E-53</v>
      </c>
      <c r="AO200" s="1">
        <f t="shared" si="41"/>
        <v>1.2799690686292977E-53</v>
      </c>
      <c r="AQ200" s="1">
        <f t="shared" si="42"/>
        <v>1.2799690686292978E-56</v>
      </c>
    </row>
    <row r="201" spans="2:43" x14ac:dyDescent="0.25">
      <c r="B201" s="1">
        <f t="shared" si="43"/>
        <v>1760</v>
      </c>
      <c r="D201" s="1">
        <f t="shared" si="27"/>
        <v>0.99747374636306974</v>
      </c>
      <c r="F201" s="1">
        <f t="shared" si="28"/>
        <v>11.429787745951925</v>
      </c>
      <c r="I201" s="1">
        <f t="shared" si="29"/>
        <v>9.0258560760713813E-59</v>
      </c>
      <c r="L201" s="1">
        <f t="shared" si="30"/>
        <v>26.570478884256111</v>
      </c>
      <c r="N201" s="1">
        <f t="shared" si="31"/>
        <v>0</v>
      </c>
      <c r="Q201" s="1">
        <f t="shared" si="32"/>
        <v>0</v>
      </c>
      <c r="S201" s="1">
        <f t="shared" si="33"/>
        <v>0</v>
      </c>
      <c r="V201" s="1">
        <f t="shared" si="34"/>
        <v>1.0406112877297279E+98</v>
      </c>
      <c r="Z201" s="1">
        <f t="shared" si="35"/>
        <v>0</v>
      </c>
      <c r="AC201" s="1">
        <f t="shared" si="36"/>
        <v>0</v>
      </c>
      <c r="AF201" s="1">
        <f t="shared" si="37"/>
        <v>1.0018612003404832</v>
      </c>
      <c r="AI201" s="1">
        <f t="shared" si="38"/>
        <v>4.5015272371663987E-59</v>
      </c>
      <c r="AK201" s="1">
        <f t="shared" si="39"/>
        <v>4.501527237166399E-57</v>
      </c>
      <c r="AM201" s="1">
        <f t="shared" si="40"/>
        <v>1.3464189144066997E-56</v>
      </c>
      <c r="AO201" s="1">
        <f t="shared" si="41"/>
        <v>1.3464189144066997E-56</v>
      </c>
      <c r="AQ201" s="1">
        <f t="shared" si="42"/>
        <v>1.3464189144066998E-59</v>
      </c>
    </row>
    <row r="202" spans="2:43" x14ac:dyDescent="0.25">
      <c r="B202" s="1">
        <f t="shared" si="43"/>
        <v>1780</v>
      </c>
      <c r="D202" s="1">
        <f t="shared" si="27"/>
        <v>0.99747374636306974</v>
      </c>
      <c r="F202" s="1">
        <f t="shared" si="28"/>
        <v>11.732601568718009</v>
      </c>
      <c r="I202" s="1">
        <f t="shared" si="29"/>
        <v>7.9089888159395886E-62</v>
      </c>
      <c r="L202" s="1">
        <f t="shared" si="30"/>
        <v>26.873292707022195</v>
      </c>
      <c r="N202" s="1">
        <f t="shared" si="31"/>
        <v>0</v>
      </c>
      <c r="Q202" s="1">
        <f t="shared" si="32"/>
        <v>0</v>
      </c>
      <c r="S202" s="1">
        <f t="shared" si="33"/>
        <v>0</v>
      </c>
      <c r="V202" s="1">
        <f t="shared" si="34"/>
        <v>1.0406112877297279E+98</v>
      </c>
      <c r="Z202" s="1">
        <f t="shared" si="35"/>
        <v>0</v>
      </c>
      <c r="AC202" s="1">
        <f t="shared" si="36"/>
        <v>0</v>
      </c>
      <c r="AF202" s="1">
        <f t="shared" si="37"/>
        <v>1.0020434812573591</v>
      </c>
      <c r="AI202" s="1">
        <f t="shared" si="38"/>
        <v>3.9445043520894405E-62</v>
      </c>
      <c r="AK202" s="1">
        <f t="shared" si="39"/>
        <v>3.9445043520894407E-60</v>
      </c>
      <c r="AM202" s="1">
        <f t="shared" si="40"/>
        <v>1.179811870016782E-59</v>
      </c>
      <c r="AO202" s="1">
        <f t="shared" si="41"/>
        <v>1.179811870016782E-59</v>
      </c>
      <c r="AQ202" s="1">
        <f t="shared" si="42"/>
        <v>1.1798118700167821E-62</v>
      </c>
    </row>
    <row r="203" spans="2:43" x14ac:dyDescent="0.25">
      <c r="B203" s="1">
        <f t="shared" si="43"/>
        <v>1800</v>
      </c>
      <c r="D203" s="1">
        <f t="shared" si="27"/>
        <v>0.99747374636306974</v>
      </c>
      <c r="F203" s="1">
        <f t="shared" si="28"/>
        <v>12.035415391484094</v>
      </c>
      <c r="I203" s="1">
        <f t="shared" si="29"/>
        <v>5.7728526116211863E-65</v>
      </c>
      <c r="L203" s="1">
        <f t="shared" si="30"/>
        <v>27.176106529788278</v>
      </c>
      <c r="N203" s="1">
        <f t="shared" si="31"/>
        <v>0</v>
      </c>
      <c r="Q203" s="1">
        <f t="shared" si="32"/>
        <v>0</v>
      </c>
      <c r="S203" s="1">
        <f t="shared" si="33"/>
        <v>0</v>
      </c>
      <c r="V203" s="1">
        <f t="shared" si="34"/>
        <v>1.0406112877297279E+98</v>
      </c>
      <c r="Z203" s="1">
        <f t="shared" si="35"/>
        <v>0</v>
      </c>
      <c r="AC203" s="1">
        <f t="shared" si="36"/>
        <v>0</v>
      </c>
      <c r="AF203" s="1">
        <f t="shared" si="37"/>
        <v>1.0022436142731919</v>
      </c>
      <c r="AI203" s="1">
        <f t="shared" si="38"/>
        <v>2.8791344608578079E-65</v>
      </c>
      <c r="AK203" s="1">
        <f t="shared" si="39"/>
        <v>2.8791344608578081E-63</v>
      </c>
      <c r="AM203" s="1">
        <f t="shared" si="40"/>
        <v>8.6115686765437936E-63</v>
      </c>
      <c r="AO203" s="1">
        <f t="shared" si="41"/>
        <v>8.6115686765437936E-63</v>
      </c>
      <c r="AQ203" s="1">
        <f t="shared" si="42"/>
        <v>8.6115686765437946E-66</v>
      </c>
    </row>
    <row r="204" spans="2:43" x14ac:dyDescent="0.25">
      <c r="B204" s="1">
        <f t="shared" si="43"/>
        <v>1820</v>
      </c>
      <c r="D204" s="1">
        <f t="shared" si="27"/>
        <v>0.99747374636306974</v>
      </c>
      <c r="F204" s="1">
        <f t="shared" si="28"/>
        <v>12.338229214250177</v>
      </c>
      <c r="I204" s="1">
        <f t="shared" si="29"/>
        <v>3.5098061508340584E-68</v>
      </c>
      <c r="L204" s="1">
        <f t="shared" si="30"/>
        <v>27.478920352554361</v>
      </c>
      <c r="N204" s="1">
        <f t="shared" si="31"/>
        <v>0</v>
      </c>
      <c r="Q204" s="1">
        <f t="shared" si="32"/>
        <v>0</v>
      </c>
      <c r="S204" s="1">
        <f t="shared" si="33"/>
        <v>0</v>
      </c>
      <c r="V204" s="1">
        <f t="shared" si="34"/>
        <v>1.0406112877297279E+98</v>
      </c>
      <c r="Z204" s="1">
        <f t="shared" si="35"/>
        <v>0</v>
      </c>
      <c r="AC204" s="1">
        <f t="shared" si="36"/>
        <v>0</v>
      </c>
      <c r="AF204" s="1">
        <f t="shared" si="37"/>
        <v>1.0024633477741685</v>
      </c>
      <c r="AI204" s="1">
        <f t="shared" si="38"/>
        <v>1.7504697451402969E-68</v>
      </c>
      <c r="AK204" s="1">
        <f t="shared" si="39"/>
        <v>1.7504697451402968E-66</v>
      </c>
      <c r="AM204" s="1">
        <f t="shared" si="40"/>
        <v>5.2357021290337903E-66</v>
      </c>
      <c r="AO204" s="1">
        <f t="shared" si="41"/>
        <v>5.2357021290337903E-66</v>
      </c>
      <c r="AQ204" s="1">
        <f t="shared" si="42"/>
        <v>5.235702129033791E-69</v>
      </c>
    </row>
    <row r="205" spans="2:43" x14ac:dyDescent="0.25">
      <c r="B205" s="1">
        <f t="shared" si="43"/>
        <v>1840</v>
      </c>
      <c r="D205" s="1">
        <f t="shared" si="27"/>
        <v>0.99747374636306974</v>
      </c>
      <c r="F205" s="1">
        <f t="shared" si="28"/>
        <v>12.64104303701626</v>
      </c>
      <c r="I205" s="1">
        <f t="shared" si="29"/>
        <v>1.7774038860102892E-71</v>
      </c>
      <c r="L205" s="1">
        <f t="shared" si="30"/>
        <v>27.781734175320445</v>
      </c>
      <c r="N205" s="1">
        <f t="shared" si="31"/>
        <v>0</v>
      </c>
      <c r="Q205" s="1">
        <f t="shared" si="32"/>
        <v>0</v>
      </c>
      <c r="S205" s="1">
        <f t="shared" si="33"/>
        <v>0</v>
      </c>
      <c r="V205" s="1">
        <f t="shared" si="34"/>
        <v>1.0406112877297279E+98</v>
      </c>
      <c r="Z205" s="1">
        <f t="shared" si="35"/>
        <v>0</v>
      </c>
      <c r="AC205" s="1">
        <f t="shared" si="36"/>
        <v>0</v>
      </c>
      <c r="AF205" s="1">
        <f t="shared" si="37"/>
        <v>1.00270460137868</v>
      </c>
      <c r="AI205" s="1">
        <f t="shared" si="38"/>
        <v>8.8645685648948086E-72</v>
      </c>
      <c r="AK205" s="1">
        <f t="shared" si="39"/>
        <v>8.8645685648948092E-70</v>
      </c>
      <c r="AM205" s="1">
        <f t="shared" si="40"/>
        <v>2.6514163205069221E-69</v>
      </c>
      <c r="AO205" s="1">
        <f t="shared" si="41"/>
        <v>2.6514163205069221E-69</v>
      </c>
      <c r="AQ205" s="1">
        <f t="shared" si="42"/>
        <v>2.6514163205069223E-72</v>
      </c>
    </row>
    <row r="206" spans="2:43" x14ac:dyDescent="0.25">
      <c r="B206" s="1">
        <f t="shared" si="43"/>
        <v>1860</v>
      </c>
      <c r="D206" s="1">
        <f t="shared" si="27"/>
        <v>0.99747374636306974</v>
      </c>
      <c r="F206" s="1">
        <f t="shared" si="28"/>
        <v>12.943856859782343</v>
      </c>
      <c r="I206" s="1">
        <f t="shared" si="29"/>
        <v>7.4970001952467538E-75</v>
      </c>
      <c r="L206" s="1">
        <f t="shared" si="30"/>
        <v>28.084547998086528</v>
      </c>
      <c r="N206" s="1">
        <f t="shared" si="31"/>
        <v>0</v>
      </c>
      <c r="Q206" s="1">
        <f t="shared" si="32"/>
        <v>0</v>
      </c>
      <c r="S206" s="1">
        <f t="shared" si="33"/>
        <v>0</v>
      </c>
      <c r="V206" s="1">
        <f t="shared" si="34"/>
        <v>1.0406112877297279E+98</v>
      </c>
      <c r="Z206" s="1">
        <f t="shared" si="35"/>
        <v>0</v>
      </c>
      <c r="AC206" s="1">
        <f t="shared" si="36"/>
        <v>0</v>
      </c>
      <c r="AF206" s="1">
        <f t="shared" si="37"/>
        <v>1.0029694827073399</v>
      </c>
      <c r="AI206" s="1">
        <f t="shared" si="38"/>
        <v>3.7390304356187224E-75</v>
      </c>
      <c r="AK206" s="1">
        <f t="shared" si="39"/>
        <v>3.7390304356187226E-73</v>
      </c>
      <c r="AM206" s="1">
        <f t="shared" si="40"/>
        <v>1.1183540684801764E-72</v>
      </c>
      <c r="AO206" s="1">
        <f t="shared" si="41"/>
        <v>1.1183540684801764E-72</v>
      </c>
      <c r="AQ206" s="1">
        <f t="shared" si="42"/>
        <v>1.1183540684801765E-75</v>
      </c>
    </row>
    <row r="207" spans="2:43" x14ac:dyDescent="0.25">
      <c r="B207" s="1">
        <f t="shared" si="43"/>
        <v>1880</v>
      </c>
      <c r="D207" s="1">
        <f t="shared" si="27"/>
        <v>0.99747374636306974</v>
      </c>
      <c r="F207" s="1">
        <f t="shared" si="28"/>
        <v>13.246670682548428</v>
      </c>
      <c r="I207" s="1">
        <f t="shared" si="29"/>
        <v>2.6337600054409447E-78</v>
      </c>
      <c r="L207" s="1">
        <f t="shared" si="30"/>
        <v>28.387361820852611</v>
      </c>
      <c r="N207" s="1">
        <f t="shared" si="31"/>
        <v>0</v>
      </c>
      <c r="Q207" s="1">
        <f t="shared" si="32"/>
        <v>0</v>
      </c>
      <c r="S207" s="1">
        <f t="shared" si="33"/>
        <v>0</v>
      </c>
      <c r="V207" s="1">
        <f t="shared" si="34"/>
        <v>1.0406112877297279E+98</v>
      </c>
      <c r="Z207" s="1">
        <f t="shared" si="35"/>
        <v>0</v>
      </c>
      <c r="AC207" s="1">
        <f t="shared" si="36"/>
        <v>0</v>
      </c>
      <c r="AF207" s="1">
        <f t="shared" si="37"/>
        <v>1.0032603057954124</v>
      </c>
      <c r="AI207" s="1">
        <f t="shared" si="38"/>
        <v>1.313553229824199E-78</v>
      </c>
      <c r="AK207" s="1">
        <f t="shared" si="39"/>
        <v>1.3135532298241991E-76</v>
      </c>
      <c r="AM207" s="1">
        <f t="shared" si="40"/>
        <v>3.9288730702618125E-76</v>
      </c>
      <c r="AO207" s="1">
        <f t="shared" si="41"/>
        <v>3.9288730702618125E-76</v>
      </c>
      <c r="AQ207" s="1">
        <f t="shared" si="42"/>
        <v>3.9288730702618127E-79</v>
      </c>
    </row>
    <row r="208" spans="2:43" x14ac:dyDescent="0.25">
      <c r="B208" s="1">
        <f t="shared" si="43"/>
        <v>1900</v>
      </c>
      <c r="D208" s="1">
        <f t="shared" si="27"/>
        <v>0.99747374636306974</v>
      </c>
      <c r="F208" s="1">
        <f t="shared" si="28"/>
        <v>13.549484505314512</v>
      </c>
      <c r="I208" s="1">
        <f t="shared" si="29"/>
        <v>7.7062264919014002E-82</v>
      </c>
      <c r="L208" s="1">
        <f t="shared" si="30"/>
        <v>28.690175643618694</v>
      </c>
      <c r="N208" s="1">
        <f t="shared" si="31"/>
        <v>0</v>
      </c>
      <c r="Q208" s="1">
        <f t="shared" si="32"/>
        <v>0</v>
      </c>
      <c r="S208" s="1">
        <f t="shared" si="33"/>
        <v>0</v>
      </c>
      <c r="V208" s="1">
        <f t="shared" si="34"/>
        <v>1.0406112877297279E+98</v>
      </c>
      <c r="Z208" s="1">
        <f t="shared" si="35"/>
        <v>0</v>
      </c>
      <c r="AC208" s="1">
        <f t="shared" si="36"/>
        <v>0</v>
      </c>
      <c r="AF208" s="1">
        <f t="shared" si="37"/>
        <v>1.0035796113085034</v>
      </c>
      <c r="AI208" s="1">
        <f t="shared" si="38"/>
        <v>3.8433793045996131E-82</v>
      </c>
      <c r="AK208" s="1">
        <f t="shared" si="39"/>
        <v>3.843379304599613E-80</v>
      </c>
      <c r="AM208" s="1">
        <f t="shared" si="40"/>
        <v>1.1495650960916093E-79</v>
      </c>
      <c r="AO208" s="1">
        <f t="shared" si="41"/>
        <v>1.1495650960916093E-79</v>
      </c>
      <c r="AQ208" s="1">
        <f t="shared" si="42"/>
        <v>1.1495650960916093E-82</v>
      </c>
    </row>
    <row r="209" spans="2:43" x14ac:dyDescent="0.25">
      <c r="B209" s="1">
        <f t="shared" si="43"/>
        <v>1920</v>
      </c>
      <c r="D209" s="1">
        <f t="shared" si="27"/>
        <v>0.99747374636306974</v>
      </c>
      <c r="F209" s="1">
        <f t="shared" si="28"/>
        <v>13.852298328080595</v>
      </c>
      <c r="I209" s="1">
        <f t="shared" si="29"/>
        <v>1.8779089118737442E-85</v>
      </c>
      <c r="L209" s="1">
        <f t="shared" si="30"/>
        <v>28.992989466384781</v>
      </c>
      <c r="N209" s="1">
        <f t="shared" si="31"/>
        <v>0</v>
      </c>
      <c r="Q209" s="1">
        <f t="shared" si="32"/>
        <v>0</v>
      </c>
      <c r="S209" s="1">
        <f t="shared" si="33"/>
        <v>0</v>
      </c>
      <c r="V209" s="1">
        <f t="shared" si="34"/>
        <v>1.0406112877297279E+98</v>
      </c>
      <c r="Z209" s="1">
        <f t="shared" si="35"/>
        <v>0</v>
      </c>
      <c r="AC209" s="1">
        <f t="shared" si="36"/>
        <v>0</v>
      </c>
      <c r="AF209" s="1">
        <f t="shared" si="37"/>
        <v>1.0039301887381227</v>
      </c>
      <c r="AI209" s="1">
        <f t="shared" si="38"/>
        <v>9.3658241882764979E-86</v>
      </c>
      <c r="AK209" s="1">
        <f t="shared" si="39"/>
        <v>9.3658241882764986E-84</v>
      </c>
      <c r="AM209" s="1">
        <f t="shared" si="40"/>
        <v>2.8013432268025421E-83</v>
      </c>
      <c r="AO209" s="1">
        <f t="shared" si="41"/>
        <v>2.8013432268025421E-83</v>
      </c>
      <c r="AQ209" s="1">
        <f t="shared" si="42"/>
        <v>2.8013432268025424E-86</v>
      </c>
    </row>
    <row r="210" spans="2:43" x14ac:dyDescent="0.25">
      <c r="B210" s="1">
        <f t="shared" si="43"/>
        <v>1940</v>
      </c>
      <c r="D210" s="1">
        <f t="shared" ref="D210:D241" si="44">EXP(-0.693/$M$6*$M$19)</f>
        <v>0.99747374636306974</v>
      </c>
      <c r="F210" s="1">
        <f t="shared" ref="F210:F241" si="45">(B210-$M$13-($I$33*$M$19))/POWER(4*$T$33*$M$19,0.5)</f>
        <v>14.155112150846678</v>
      </c>
      <c r="I210" s="1">
        <f t="shared" ref="I210:I241" si="46">IF(F210&gt;0,ERFC(IF(F210&lt;27,F210,27)),1+ERF(IF(-F210&lt;27,-F210,27)))</f>
        <v>3.8112318228787482E-89</v>
      </c>
      <c r="L210" s="1">
        <f t="shared" ref="L210:L241" si="47">(B210-($M$19*$I$33))/POWER(4*$T$33*$M$19,0.5)</f>
        <v>29.295803289150864</v>
      </c>
      <c r="N210" s="1">
        <f t="shared" ref="N210:N241" si="48">IF(L210&gt;0,ERFC(IF(L210&lt;27,L210,27)),1+ERF(IF(-L210&lt;27,-L210,27)))</f>
        <v>0</v>
      </c>
      <c r="Q210" s="1">
        <f t="shared" ref="Q210:Q241" si="49">IF((B210+$M$13+$I$33*$M$19)/POWER(4*$T$33*$M$19,0.5)&gt;27,ERFC(27),ERFC((B210+$M$13+$I$33*$M$19)/POWER(4*$T$33*$M$19,0.5)))</f>
        <v>0</v>
      </c>
      <c r="S210" s="1">
        <f t="shared" ref="S210:S241" si="50">IF((B210+$I$33*$M$19)/(POWER(4*$T$33*$M$19,0.5))&gt;27,ERFC(27),ERFC((B210+$I$33*$M$19)/(POWER(4*$T$33*$M$19,0.5))))</f>
        <v>0</v>
      </c>
      <c r="V210" s="1">
        <f t="shared" ref="V210:V241" si="51">(2+$I$33/$C$39)*EXP(IF(($C$39*($C$39+$I$33)*$M$19+($C$39+$I$33)*B210)/$T$33&gt;225,225,($C$39*($C$39+$I$33)*$M$19+($C$39+$I$33)*B210)/$T$33))</f>
        <v>1.0406112877297279E+98</v>
      </c>
      <c r="Z210" s="1">
        <f t="shared" ref="Z210:Z241" si="52">IF((B210+((2*$C$39+$I$33)*$M$19))/POWER(4*$T$33*$M$19,0.5)&gt;27,ERFC(27),ERFC((B210+((2*$C$39+$I$33)*$M$19))/POWER(4*$T$33*$M$19,0.5)))</f>
        <v>0</v>
      </c>
      <c r="AC210" s="1">
        <f t="shared" ref="AC210:AC241" si="53">IF((B210+$M$13+((2*$C$39+$I$33)*$M$19))/POWER(4*$T$33*$M$19,0.5)&gt;27,ERFC(27),ERFC((B210+$M$13+((2*$C$39+$I$33)*$M$19))/POWER(4*$T$33*$M$19,0.5)))</f>
        <v>0</v>
      </c>
      <c r="AF210" s="1">
        <f t="shared" si="37"/>
        <v>1.0043151007710176</v>
      </c>
      <c r="AI210" s="1">
        <f t="shared" si="38"/>
        <v>1.9008018423125083E-89</v>
      </c>
      <c r="AK210" s="1">
        <f t="shared" si="39"/>
        <v>1.9008018423125082E-87</v>
      </c>
      <c r="AM210" s="1">
        <f t="shared" si="40"/>
        <v>5.6853494785020198E-87</v>
      </c>
      <c r="AO210" s="1">
        <f t="shared" si="41"/>
        <v>5.6853494785020198E-87</v>
      </c>
      <c r="AQ210" s="1">
        <f t="shared" si="42"/>
        <v>5.6853494785020201E-90</v>
      </c>
    </row>
    <row r="211" spans="2:43" x14ac:dyDescent="0.25">
      <c r="B211" s="1">
        <f t="shared" si="43"/>
        <v>1960</v>
      </c>
      <c r="D211" s="1">
        <f t="shared" si="44"/>
        <v>0.99747374636306974</v>
      </c>
      <c r="F211" s="1">
        <f t="shared" si="45"/>
        <v>14.457925973612763</v>
      </c>
      <c r="I211" s="1">
        <f t="shared" si="46"/>
        <v>6.4417782514591204E-93</v>
      </c>
      <c r="L211" s="1">
        <f t="shared" si="47"/>
        <v>29.598617111916948</v>
      </c>
      <c r="N211" s="1">
        <f t="shared" si="48"/>
        <v>0</v>
      </c>
      <c r="Q211" s="1">
        <f t="shared" si="49"/>
        <v>0</v>
      </c>
      <c r="S211" s="1">
        <f t="shared" si="50"/>
        <v>0</v>
      </c>
      <c r="V211" s="1">
        <f t="shared" si="51"/>
        <v>1.0406112877297279E+98</v>
      </c>
      <c r="Z211" s="1">
        <f t="shared" si="52"/>
        <v>0</v>
      </c>
      <c r="AC211" s="1">
        <f t="shared" si="53"/>
        <v>0</v>
      </c>
      <c r="AF211" s="1">
        <f t="shared" si="37"/>
        <v>1.0047377100451749</v>
      </c>
      <c r="AI211" s="1">
        <f t="shared" si="38"/>
        <v>3.2127523428615366E-93</v>
      </c>
      <c r="AK211" s="1">
        <f t="shared" si="39"/>
        <v>3.2127523428615365E-91</v>
      </c>
      <c r="AM211" s="1">
        <f t="shared" si="40"/>
        <v>9.6094287423575394E-91</v>
      </c>
      <c r="AO211" s="1">
        <f t="shared" si="41"/>
        <v>9.6094287423575394E-91</v>
      </c>
      <c r="AQ211" s="1">
        <f t="shared" si="42"/>
        <v>9.60942874235754E-94</v>
      </c>
    </row>
    <row r="212" spans="2:43" x14ac:dyDescent="0.25">
      <c r="B212" s="1">
        <f t="shared" si="43"/>
        <v>1980</v>
      </c>
      <c r="D212" s="1">
        <f t="shared" si="44"/>
        <v>0.99747374636306974</v>
      </c>
      <c r="F212" s="1">
        <f t="shared" si="45"/>
        <v>14.760739796378846</v>
      </c>
      <c r="I212" s="1">
        <f t="shared" si="46"/>
        <v>9.0675034578715516E-97</v>
      </c>
      <c r="L212" s="1">
        <f t="shared" si="47"/>
        <v>29.901430934683031</v>
      </c>
      <c r="N212" s="1">
        <f t="shared" si="48"/>
        <v>0</v>
      </c>
      <c r="Q212" s="1">
        <f t="shared" si="49"/>
        <v>0</v>
      </c>
      <c r="S212" s="1">
        <f t="shared" si="50"/>
        <v>0</v>
      </c>
      <c r="V212" s="1">
        <f t="shared" si="51"/>
        <v>1.0406112877297279E+98</v>
      </c>
      <c r="Z212" s="1">
        <f t="shared" si="52"/>
        <v>0</v>
      </c>
      <c r="AC212" s="1">
        <f t="shared" si="53"/>
        <v>0</v>
      </c>
      <c r="AF212" s="1">
        <f t="shared" si="37"/>
        <v>1.0052017085262315</v>
      </c>
      <c r="AI212" s="1">
        <f t="shared" si="38"/>
        <v>4.5222983221416131E-97</v>
      </c>
      <c r="AK212" s="1">
        <f t="shared" si="39"/>
        <v>4.5222983221416129E-95</v>
      </c>
      <c r="AM212" s="1">
        <f t="shared" si="40"/>
        <v>1.3526316018369733E-94</v>
      </c>
      <c r="AO212" s="1">
        <f t="shared" si="41"/>
        <v>1.3526316018369733E-94</v>
      </c>
      <c r="AQ212" s="1">
        <f t="shared" si="42"/>
        <v>1.3526316018369733E-97</v>
      </c>
    </row>
    <row r="213" spans="2:43" x14ac:dyDescent="0.25">
      <c r="B213" s="1">
        <f t="shared" si="43"/>
        <v>2000</v>
      </c>
      <c r="D213" s="1">
        <f t="shared" si="44"/>
        <v>0.99747374636306974</v>
      </c>
      <c r="F213" s="1">
        <f t="shared" si="45"/>
        <v>15.06355361914493</v>
      </c>
      <c r="I213" s="1">
        <f t="shared" si="46"/>
        <v>1.0629276757805709E-100</v>
      </c>
      <c r="L213" s="1">
        <f t="shared" si="47"/>
        <v>30.204244757449114</v>
      </c>
      <c r="N213" s="1">
        <f t="shared" si="48"/>
        <v>0</v>
      </c>
      <c r="Q213" s="1">
        <f t="shared" si="49"/>
        <v>0</v>
      </c>
      <c r="S213" s="1">
        <f t="shared" si="50"/>
        <v>0</v>
      </c>
      <c r="V213" s="1">
        <f t="shared" si="51"/>
        <v>1.0406112877297279E+98</v>
      </c>
      <c r="Z213" s="1">
        <f t="shared" si="52"/>
        <v>0</v>
      </c>
      <c r="AC213" s="1">
        <f t="shared" si="53"/>
        <v>0</v>
      </c>
      <c r="AF213" s="1">
        <f t="shared" si="37"/>
        <v>1.005711149760933</v>
      </c>
      <c r="AI213" s="1">
        <f t="shared" si="38"/>
        <v>5.3012122543691819E-101</v>
      </c>
      <c r="AK213" s="1">
        <f t="shared" si="39"/>
        <v>5.3012122543691822E-99</v>
      </c>
      <c r="AM213" s="1">
        <f t="shared" si="40"/>
        <v>1.5856068557435244E-98</v>
      </c>
      <c r="AO213" s="1">
        <f t="shared" si="41"/>
        <v>1.5856068557435244E-98</v>
      </c>
      <c r="AQ213" s="1">
        <f t="shared" si="42"/>
        <v>1.5856068557435243E-101</v>
      </c>
    </row>
    <row r="214" spans="2:43" x14ac:dyDescent="0.25">
      <c r="B214" s="1">
        <f t="shared" si="43"/>
        <v>2020</v>
      </c>
      <c r="D214" s="1">
        <f t="shared" si="44"/>
        <v>0.99747374636306974</v>
      </c>
      <c r="F214" s="1">
        <f t="shared" si="45"/>
        <v>15.366367441911013</v>
      </c>
      <c r="I214" s="1">
        <f t="shared" si="46"/>
        <v>1.037639844493491E-104</v>
      </c>
      <c r="L214" s="1">
        <f t="shared" si="47"/>
        <v>30.507058580215197</v>
      </c>
      <c r="N214" s="1">
        <f t="shared" si="48"/>
        <v>0</v>
      </c>
      <c r="Q214" s="1">
        <f t="shared" si="49"/>
        <v>0</v>
      </c>
      <c r="S214" s="1">
        <f t="shared" si="50"/>
        <v>0</v>
      </c>
      <c r="V214" s="1">
        <f t="shared" si="51"/>
        <v>1.0406112877297279E+98</v>
      </c>
      <c r="Z214" s="1">
        <f t="shared" si="52"/>
        <v>0</v>
      </c>
      <c r="AC214" s="1">
        <f t="shared" si="53"/>
        <v>0</v>
      </c>
      <c r="AF214" s="1">
        <f t="shared" si="37"/>
        <v>1.0062704842894059</v>
      </c>
      <c r="AI214" s="1">
        <f t="shared" si="38"/>
        <v>5.1750925153125781E-105</v>
      </c>
      <c r="AK214" s="1">
        <f t="shared" si="39"/>
        <v>5.1750925153125782E-103</v>
      </c>
      <c r="AM214" s="1">
        <f t="shared" si="40"/>
        <v>1.547884102286913E-102</v>
      </c>
      <c r="AO214" s="1">
        <f t="shared" si="41"/>
        <v>1.547884102286913E-102</v>
      </c>
      <c r="AQ214" s="1">
        <f t="shared" si="42"/>
        <v>1.5478841022869132E-105</v>
      </c>
    </row>
    <row r="215" spans="2:43" x14ac:dyDescent="0.25">
      <c r="B215" s="1">
        <f t="shared" si="43"/>
        <v>2040</v>
      </c>
      <c r="D215" s="1">
        <f t="shared" si="44"/>
        <v>0.99747374636306974</v>
      </c>
      <c r="F215" s="1">
        <f t="shared" si="45"/>
        <v>15.669181264677096</v>
      </c>
      <c r="I215" s="1">
        <f t="shared" si="46"/>
        <v>8.4354805045168849E-109</v>
      </c>
      <c r="L215" s="1">
        <f t="shared" si="47"/>
        <v>30.809872402981281</v>
      </c>
      <c r="N215" s="1">
        <f t="shared" si="48"/>
        <v>0</v>
      </c>
      <c r="Q215" s="1">
        <f t="shared" si="49"/>
        <v>0</v>
      </c>
      <c r="S215" s="1">
        <f t="shared" si="50"/>
        <v>0</v>
      </c>
      <c r="V215" s="1">
        <f t="shared" si="51"/>
        <v>1.0406112877297279E+98</v>
      </c>
      <c r="Z215" s="1">
        <f t="shared" si="52"/>
        <v>0</v>
      </c>
      <c r="AC215" s="1">
        <f t="shared" si="53"/>
        <v>0</v>
      </c>
      <c r="AF215" s="1">
        <f t="shared" si="37"/>
        <v>1.0068845985256154</v>
      </c>
      <c r="AI215" s="1">
        <f t="shared" si="38"/>
        <v>4.2070851706065472E-109</v>
      </c>
      <c r="AK215" s="1">
        <f t="shared" si="39"/>
        <v>4.2070851706065469E-107</v>
      </c>
      <c r="AM215" s="1">
        <f t="shared" si="40"/>
        <v>1.2583504996829156E-106</v>
      </c>
      <c r="AO215" s="1">
        <f t="shared" si="41"/>
        <v>1.2583504996829156E-106</v>
      </c>
      <c r="AQ215" s="1">
        <f t="shared" si="42"/>
        <v>1.2583504996829157E-109</v>
      </c>
    </row>
    <row r="216" spans="2:43" x14ac:dyDescent="0.25">
      <c r="B216" s="1">
        <f t="shared" si="43"/>
        <v>2060</v>
      </c>
      <c r="D216" s="1">
        <f t="shared" si="44"/>
        <v>0.99747374636306974</v>
      </c>
      <c r="F216" s="1">
        <f t="shared" si="45"/>
        <v>15.97199508744318</v>
      </c>
      <c r="I216" s="1">
        <f t="shared" si="46"/>
        <v>5.7106687880318446E-113</v>
      </c>
      <c r="L216" s="1">
        <f t="shared" si="47"/>
        <v>31.112686225747364</v>
      </c>
      <c r="N216" s="1">
        <f t="shared" si="48"/>
        <v>0</v>
      </c>
      <c r="Q216" s="1">
        <f t="shared" si="49"/>
        <v>0</v>
      </c>
      <c r="S216" s="1">
        <f t="shared" si="50"/>
        <v>0</v>
      </c>
      <c r="V216" s="1">
        <f t="shared" si="51"/>
        <v>1.0406112877297279E+98</v>
      </c>
      <c r="Z216" s="1">
        <f t="shared" si="52"/>
        <v>0</v>
      </c>
      <c r="AC216" s="1">
        <f t="shared" si="53"/>
        <v>0</v>
      </c>
      <c r="AF216" s="1">
        <f t="shared" si="37"/>
        <v>1.0075588574456655</v>
      </c>
      <c r="AI216" s="1">
        <f t="shared" si="38"/>
        <v>2.8481210951183873E-113</v>
      </c>
      <c r="AK216" s="1">
        <f t="shared" si="39"/>
        <v>2.8481210951183872E-111</v>
      </c>
      <c r="AM216" s="1">
        <f t="shared" si="40"/>
        <v>8.5188068647608809E-111</v>
      </c>
      <c r="AO216" s="1">
        <f t="shared" si="41"/>
        <v>8.5188068647608809E-111</v>
      </c>
      <c r="AQ216" s="1">
        <f t="shared" si="42"/>
        <v>8.5188068647608818E-114</v>
      </c>
    </row>
    <row r="217" spans="2:43" x14ac:dyDescent="0.25">
      <c r="B217" s="1">
        <f t="shared" si="43"/>
        <v>2080</v>
      </c>
      <c r="D217" s="1">
        <f t="shared" si="44"/>
        <v>0.99747374636306974</v>
      </c>
      <c r="F217" s="1">
        <f t="shared" si="45"/>
        <v>16.274808910209263</v>
      </c>
      <c r="I217" s="1">
        <f t="shared" si="46"/>
        <v>3.2193791518130205E-117</v>
      </c>
      <c r="L217" s="1">
        <f t="shared" si="47"/>
        <v>31.415500048513451</v>
      </c>
      <c r="N217" s="1">
        <f t="shared" si="48"/>
        <v>0</v>
      </c>
      <c r="Q217" s="1">
        <f t="shared" si="49"/>
        <v>0</v>
      </c>
      <c r="S217" s="1">
        <f t="shared" si="50"/>
        <v>0</v>
      </c>
      <c r="V217" s="1">
        <f t="shared" si="51"/>
        <v>1.0406112877297279E+98</v>
      </c>
      <c r="Z217" s="1">
        <f t="shared" si="52"/>
        <v>0</v>
      </c>
      <c r="AC217" s="1">
        <f t="shared" si="53"/>
        <v>0</v>
      </c>
      <c r="AF217" s="1">
        <f t="shared" si="37"/>
        <v>1.00829915145688</v>
      </c>
      <c r="AI217" s="1">
        <f t="shared" si="38"/>
        <v>1.6056230917610476E-117</v>
      </c>
      <c r="AK217" s="1">
        <f t="shared" si="39"/>
        <v>1.6056230917610475E-115</v>
      </c>
      <c r="AM217" s="1">
        <f t="shared" si="40"/>
        <v>4.8024618896143012E-115</v>
      </c>
      <c r="AO217" s="1">
        <f t="shared" si="41"/>
        <v>4.8024618896143012E-115</v>
      </c>
      <c r="AQ217" s="1">
        <f t="shared" si="42"/>
        <v>4.8024618896143011E-118</v>
      </c>
    </row>
    <row r="218" spans="2:43" x14ac:dyDescent="0.25">
      <c r="B218" s="1">
        <f t="shared" si="43"/>
        <v>2100</v>
      </c>
      <c r="D218" s="1">
        <f t="shared" si="44"/>
        <v>0.99747374636306974</v>
      </c>
      <c r="F218" s="1">
        <f t="shared" si="45"/>
        <v>16.577622732975346</v>
      </c>
      <c r="I218" s="1">
        <f t="shared" si="46"/>
        <v>1.5113312547013338E-121</v>
      </c>
      <c r="L218" s="1">
        <f t="shared" si="47"/>
        <v>31.718313871279534</v>
      </c>
      <c r="N218" s="1">
        <f t="shared" si="48"/>
        <v>0</v>
      </c>
      <c r="Q218" s="1">
        <f t="shared" si="49"/>
        <v>0</v>
      </c>
      <c r="S218" s="1">
        <f t="shared" si="50"/>
        <v>0</v>
      </c>
      <c r="V218" s="1">
        <f t="shared" si="51"/>
        <v>1.0406112877297279E+98</v>
      </c>
      <c r="Z218" s="1">
        <f t="shared" si="52"/>
        <v>0</v>
      </c>
      <c r="AC218" s="1">
        <f t="shared" si="53"/>
        <v>0</v>
      </c>
      <c r="AF218" s="1">
        <f t="shared" si="37"/>
        <v>1.0091119478571098</v>
      </c>
      <c r="AI218" s="1">
        <f t="shared" si="38"/>
        <v>7.5375662431126909E-122</v>
      </c>
      <c r="AK218" s="1">
        <f t="shared" si="39"/>
        <v>7.5375662431126915E-120</v>
      </c>
      <c r="AM218" s="1">
        <f t="shared" si="40"/>
        <v>2.254506353872191E-119</v>
      </c>
      <c r="AO218" s="1">
        <f t="shared" si="41"/>
        <v>2.254506353872191E-119</v>
      </c>
      <c r="AQ218" s="1">
        <f t="shared" si="42"/>
        <v>2.2545063538721912E-122</v>
      </c>
    </row>
    <row r="219" spans="2:43" x14ac:dyDescent="0.25">
      <c r="B219" s="1">
        <f t="shared" si="43"/>
        <v>2120</v>
      </c>
      <c r="D219" s="1">
        <f t="shared" si="44"/>
        <v>0.99747374636306974</v>
      </c>
      <c r="F219" s="1">
        <f t="shared" si="45"/>
        <v>16.880436555741429</v>
      </c>
      <c r="I219" s="1">
        <f t="shared" si="46"/>
        <v>5.9080512734194947E-126</v>
      </c>
      <c r="L219" s="1">
        <f t="shared" si="47"/>
        <v>32.021127694045617</v>
      </c>
      <c r="N219" s="1">
        <f t="shared" si="48"/>
        <v>0</v>
      </c>
      <c r="Q219" s="1">
        <f t="shared" si="49"/>
        <v>0</v>
      </c>
      <c r="S219" s="1">
        <f t="shared" si="50"/>
        <v>0</v>
      </c>
      <c r="V219" s="1">
        <f t="shared" si="51"/>
        <v>1.0406112877297279E+98</v>
      </c>
      <c r="Z219" s="1">
        <f t="shared" si="52"/>
        <v>0</v>
      </c>
      <c r="AC219" s="1">
        <f t="shared" si="53"/>
        <v>0</v>
      </c>
      <c r="AF219" s="1">
        <f t="shared" si="37"/>
        <v>1.0100043473338303</v>
      </c>
      <c r="AI219" s="1">
        <f t="shared" si="38"/>
        <v>2.946563018701424E-126</v>
      </c>
      <c r="AK219" s="1">
        <f t="shared" si="39"/>
        <v>2.9465630187014242E-124</v>
      </c>
      <c r="AM219" s="1">
        <f t="shared" si="40"/>
        <v>8.8132493081797339E-124</v>
      </c>
      <c r="AO219" s="1">
        <f t="shared" si="41"/>
        <v>8.8132493081797339E-124</v>
      </c>
      <c r="AQ219" s="1">
        <f t="shared" si="42"/>
        <v>8.8132493081797356E-127</v>
      </c>
    </row>
    <row r="220" spans="2:43" x14ac:dyDescent="0.25">
      <c r="B220" s="1">
        <f t="shared" si="43"/>
        <v>2140</v>
      </c>
      <c r="D220" s="1">
        <f t="shared" si="44"/>
        <v>0.99747374636306974</v>
      </c>
      <c r="F220" s="1">
        <f t="shared" si="45"/>
        <v>17.183250378507516</v>
      </c>
      <c r="I220" s="1">
        <f t="shared" si="46"/>
        <v>1.9231840891858767E-130</v>
      </c>
      <c r="L220" s="1">
        <f t="shared" si="47"/>
        <v>32.323941516811701</v>
      </c>
      <c r="N220" s="1">
        <f t="shared" si="48"/>
        <v>0</v>
      </c>
      <c r="Q220" s="1">
        <f t="shared" si="49"/>
        <v>0</v>
      </c>
      <c r="S220" s="1">
        <f t="shared" si="50"/>
        <v>0</v>
      </c>
      <c r="V220" s="1">
        <f t="shared" si="51"/>
        <v>1.0406112877297279E+98</v>
      </c>
      <c r="Z220" s="1">
        <f t="shared" si="52"/>
        <v>0</v>
      </c>
      <c r="AC220" s="1">
        <f t="shared" si="53"/>
        <v>0</v>
      </c>
      <c r="AF220" s="1">
        <f t="shared" si="37"/>
        <v>1.0109841459966016</v>
      </c>
      <c r="AI220" s="1">
        <f t="shared" si="38"/>
        <v>9.5916281919304231E-131</v>
      </c>
      <c r="AK220" s="1">
        <f t="shared" si="39"/>
        <v>9.5916281919304231E-129</v>
      </c>
      <c r="AM220" s="1">
        <f t="shared" si="40"/>
        <v>2.8688818121426995E-128</v>
      </c>
      <c r="AO220" s="1">
        <f t="shared" si="41"/>
        <v>2.8688818121426995E-128</v>
      </c>
      <c r="AQ220" s="1">
        <f t="shared" si="42"/>
        <v>2.8688818121426995E-131</v>
      </c>
    </row>
    <row r="221" spans="2:43" x14ac:dyDescent="0.25">
      <c r="B221" s="1">
        <f t="shared" si="43"/>
        <v>2160</v>
      </c>
      <c r="D221" s="1">
        <f t="shared" si="44"/>
        <v>0.99747374636306974</v>
      </c>
      <c r="F221" s="1">
        <f t="shared" si="45"/>
        <v>17.486064201273599</v>
      </c>
      <c r="I221" s="1">
        <f t="shared" si="46"/>
        <v>5.2129634961136464E-135</v>
      </c>
      <c r="L221" s="1">
        <f t="shared" si="47"/>
        <v>32.626755339577784</v>
      </c>
      <c r="N221" s="1">
        <f t="shared" si="48"/>
        <v>0</v>
      </c>
      <c r="Q221" s="1">
        <f t="shared" si="49"/>
        <v>0</v>
      </c>
      <c r="S221" s="1">
        <f t="shared" si="50"/>
        <v>0</v>
      </c>
      <c r="V221" s="1">
        <f t="shared" si="51"/>
        <v>1.0406112877297279E+98</v>
      </c>
      <c r="Z221" s="1">
        <f t="shared" si="52"/>
        <v>0</v>
      </c>
      <c r="AC221" s="1">
        <f t="shared" si="53"/>
        <v>0</v>
      </c>
      <c r="AF221" s="1">
        <f t="shared" si="37"/>
        <v>1.0120599034848248</v>
      </c>
      <c r="AI221" s="1">
        <f t="shared" si="38"/>
        <v>2.5998971140612023E-135</v>
      </c>
      <c r="AK221" s="1">
        <f t="shared" si="39"/>
        <v>2.5998971140612023E-133</v>
      </c>
      <c r="AM221" s="1">
        <f t="shared" si="40"/>
        <v>7.7763622554173566E-133</v>
      </c>
      <c r="AO221" s="1">
        <f t="shared" si="41"/>
        <v>7.7763622554173566E-133</v>
      </c>
      <c r="AQ221" s="1">
        <f t="shared" si="42"/>
        <v>7.776362255417357E-136</v>
      </c>
    </row>
    <row r="222" spans="2:43" x14ac:dyDescent="0.25">
      <c r="B222" s="1">
        <f t="shared" si="43"/>
        <v>2180</v>
      </c>
      <c r="D222" s="1">
        <f t="shared" si="44"/>
        <v>0.99747374636306974</v>
      </c>
      <c r="F222" s="1">
        <f t="shared" si="45"/>
        <v>17.788878024039683</v>
      </c>
      <c r="I222" s="1">
        <f t="shared" si="46"/>
        <v>1.1766063649388674E-139</v>
      </c>
      <c r="L222" s="1">
        <f t="shared" si="47"/>
        <v>32.929569162343867</v>
      </c>
      <c r="N222" s="1">
        <f t="shared" si="48"/>
        <v>0</v>
      </c>
      <c r="Q222" s="1">
        <f t="shared" si="49"/>
        <v>0</v>
      </c>
      <c r="S222" s="1">
        <f t="shared" si="50"/>
        <v>0</v>
      </c>
      <c r="V222" s="1">
        <f t="shared" si="51"/>
        <v>1.0406112877297279E+98</v>
      </c>
      <c r="Z222" s="1">
        <f t="shared" si="52"/>
        <v>0</v>
      </c>
      <c r="AC222" s="1">
        <f t="shared" si="53"/>
        <v>0</v>
      </c>
      <c r="AF222" s="1">
        <f t="shared" si="37"/>
        <v>1.0132410177457847</v>
      </c>
      <c r="AI222" s="1">
        <f t="shared" si="38"/>
        <v>5.8681697941510264E-140</v>
      </c>
      <c r="AK222" s="1">
        <f t="shared" si="39"/>
        <v>5.868169794151026E-138</v>
      </c>
      <c r="AM222" s="1">
        <f t="shared" si="40"/>
        <v>1.7551853820990113E-137</v>
      </c>
      <c r="AO222" s="1">
        <f t="shared" si="41"/>
        <v>1.7551853820990113E-137</v>
      </c>
      <c r="AQ222" s="1">
        <f t="shared" si="42"/>
        <v>1.7551853820990112E-140</v>
      </c>
    </row>
    <row r="223" spans="2:43" x14ac:dyDescent="0.25">
      <c r="B223" s="1">
        <f t="shared" si="43"/>
        <v>2200</v>
      </c>
      <c r="D223" s="1">
        <f t="shared" si="44"/>
        <v>0.99747374636306974</v>
      </c>
      <c r="F223" s="1">
        <f t="shared" si="45"/>
        <v>18.091691846805766</v>
      </c>
      <c r="I223" s="1">
        <f t="shared" si="46"/>
        <v>2.2113428003854784E-144</v>
      </c>
      <c r="L223" s="1">
        <f t="shared" si="47"/>
        <v>33.23238298510995</v>
      </c>
      <c r="N223" s="1">
        <f t="shared" si="48"/>
        <v>0</v>
      </c>
      <c r="Q223" s="1">
        <f t="shared" si="49"/>
        <v>0</v>
      </c>
      <c r="S223" s="1">
        <f t="shared" si="50"/>
        <v>0</v>
      </c>
      <c r="V223" s="1">
        <f t="shared" si="51"/>
        <v>1.0406112877297279E+98</v>
      </c>
      <c r="Z223" s="1">
        <f t="shared" si="52"/>
        <v>0</v>
      </c>
      <c r="AC223" s="1">
        <f t="shared" si="53"/>
        <v>0</v>
      </c>
      <c r="AF223" s="1">
        <f t="shared" si="37"/>
        <v>1.014537807136251</v>
      </c>
      <c r="AI223" s="1">
        <f t="shared" si="38"/>
        <v>1.1028781937967525E-144</v>
      </c>
      <c r="AK223" s="1">
        <f t="shared" si="39"/>
        <v>1.1028781937967525E-142</v>
      </c>
      <c r="AM223" s="1">
        <f t="shared" si="40"/>
        <v>3.2987383662913836E-142</v>
      </c>
      <c r="AO223" s="1">
        <f t="shared" si="41"/>
        <v>3.2987383662913836E-142</v>
      </c>
      <c r="AQ223" s="1">
        <f t="shared" si="42"/>
        <v>3.2987383662913844E-145</v>
      </c>
    </row>
    <row r="224" spans="2:43" x14ac:dyDescent="0.25">
      <c r="B224" s="1">
        <f t="shared" si="43"/>
        <v>2220</v>
      </c>
      <c r="D224" s="1">
        <f t="shared" si="44"/>
        <v>0.99747374636306974</v>
      </c>
      <c r="F224" s="1">
        <f t="shared" si="45"/>
        <v>18.394505669571849</v>
      </c>
      <c r="I224" s="1">
        <f t="shared" si="46"/>
        <v>3.4606303843597507E-149</v>
      </c>
      <c r="L224" s="1">
        <f t="shared" si="47"/>
        <v>33.535196807876034</v>
      </c>
      <c r="N224" s="1">
        <f t="shared" si="48"/>
        <v>0</v>
      </c>
      <c r="Q224" s="1">
        <f t="shared" si="49"/>
        <v>0</v>
      </c>
      <c r="S224" s="1">
        <f t="shared" si="50"/>
        <v>0</v>
      </c>
      <c r="V224" s="1">
        <f t="shared" si="51"/>
        <v>1.0406112877297279E+98</v>
      </c>
      <c r="Z224" s="1">
        <f t="shared" si="52"/>
        <v>0</v>
      </c>
      <c r="AC224" s="1">
        <f t="shared" si="53"/>
        <v>0</v>
      </c>
      <c r="AF224" s="1">
        <f t="shared" si="37"/>
        <v>1.0159616005648897</v>
      </c>
      <c r="AI224" s="1">
        <f t="shared" si="38"/>
        <v>1.7259439771325953E-149</v>
      </c>
      <c r="AK224" s="1">
        <f t="shared" si="39"/>
        <v>1.7259439771325953E-147</v>
      </c>
      <c r="AM224" s="1">
        <f t="shared" si="40"/>
        <v>5.1623448967076636E-147</v>
      </c>
      <c r="AO224" s="1">
        <f t="shared" si="41"/>
        <v>5.1623448967076636E-147</v>
      </c>
      <c r="AQ224" s="1">
        <f t="shared" si="42"/>
        <v>5.1623448967076643E-150</v>
      </c>
    </row>
    <row r="225" spans="2:43" x14ac:dyDescent="0.25">
      <c r="B225" s="1">
        <f t="shared" si="43"/>
        <v>2240</v>
      </c>
      <c r="D225" s="1">
        <f t="shared" si="44"/>
        <v>0.99747374636306974</v>
      </c>
      <c r="F225" s="1">
        <f t="shared" si="45"/>
        <v>18.697319492337932</v>
      </c>
      <c r="I225" s="1">
        <f t="shared" si="46"/>
        <v>4.5094619241489017E-154</v>
      </c>
      <c r="L225" s="1">
        <f t="shared" si="47"/>
        <v>33.838010630642117</v>
      </c>
      <c r="N225" s="1">
        <f t="shared" si="48"/>
        <v>0</v>
      </c>
      <c r="Q225" s="1">
        <f t="shared" si="49"/>
        <v>0</v>
      </c>
      <c r="S225" s="1">
        <f t="shared" si="50"/>
        <v>0</v>
      </c>
      <c r="V225" s="1">
        <f t="shared" si="51"/>
        <v>1.0406112877297279E+98</v>
      </c>
      <c r="Z225" s="1">
        <f t="shared" si="52"/>
        <v>0</v>
      </c>
      <c r="AC225" s="1">
        <f t="shared" si="53"/>
        <v>0</v>
      </c>
      <c r="AF225" s="1">
        <f t="shared" si="37"/>
        <v>1.0175248364629761</v>
      </c>
      <c r="AI225" s="1">
        <f t="shared" si="38"/>
        <v>2.2490349397812111E-154</v>
      </c>
      <c r="AK225" s="1">
        <f t="shared" si="39"/>
        <v>2.2490349397812111E-152</v>
      </c>
      <c r="AM225" s="1">
        <f t="shared" si="40"/>
        <v>6.7269240472020289E-152</v>
      </c>
      <c r="AO225" s="1">
        <f t="shared" si="41"/>
        <v>6.7269240472020289E-152</v>
      </c>
      <c r="AQ225" s="1">
        <f t="shared" si="42"/>
        <v>6.7269240472020291E-155</v>
      </c>
    </row>
    <row r="226" spans="2:43" x14ac:dyDescent="0.25">
      <c r="B226" s="1">
        <f t="shared" si="43"/>
        <v>2260</v>
      </c>
      <c r="D226" s="1">
        <f t="shared" si="44"/>
        <v>0.99747374636306974</v>
      </c>
      <c r="F226" s="1">
        <f t="shared" si="45"/>
        <v>19.000133315104016</v>
      </c>
      <c r="I226" s="1">
        <f t="shared" si="46"/>
        <v>4.8928384579383205E-159</v>
      </c>
      <c r="L226" s="1">
        <f t="shared" si="47"/>
        <v>34.1408244534082</v>
      </c>
      <c r="N226" s="1">
        <f t="shared" si="48"/>
        <v>0</v>
      </c>
      <c r="Q226" s="1">
        <f t="shared" si="49"/>
        <v>0</v>
      </c>
      <c r="S226" s="1">
        <f t="shared" si="50"/>
        <v>0</v>
      </c>
      <c r="V226" s="1">
        <f t="shared" si="51"/>
        <v>1.0406112877297279E+98</v>
      </c>
      <c r="Z226" s="1">
        <f t="shared" si="52"/>
        <v>0</v>
      </c>
      <c r="AC226" s="1">
        <f t="shared" si="53"/>
        <v>0</v>
      </c>
      <c r="AF226" s="1">
        <f t="shared" si="37"/>
        <v>1.0192411714480327</v>
      </c>
      <c r="AI226" s="1">
        <f t="shared" si="38"/>
        <v>2.4402389534945206E-159</v>
      </c>
      <c r="AK226" s="1">
        <f t="shared" si="39"/>
        <v>2.4402389534945206E-157</v>
      </c>
      <c r="AM226" s="1">
        <f t="shared" si="40"/>
        <v>7.2988203992857063E-157</v>
      </c>
      <c r="AO226" s="1">
        <f t="shared" si="41"/>
        <v>7.2988203992857063E-157</v>
      </c>
      <c r="AQ226" s="1">
        <f t="shared" si="42"/>
        <v>7.2988203992857071E-160</v>
      </c>
    </row>
    <row r="227" spans="2:43" x14ac:dyDescent="0.25">
      <c r="B227" s="1">
        <f t="shared" si="43"/>
        <v>2280</v>
      </c>
      <c r="D227" s="1">
        <f t="shared" si="44"/>
        <v>0.99747374636306974</v>
      </c>
      <c r="F227" s="1">
        <f t="shared" si="45"/>
        <v>19.302947137870099</v>
      </c>
      <c r="I227" s="1">
        <f t="shared" si="46"/>
        <v>4.4203853661773834E-164</v>
      </c>
      <c r="L227" s="1">
        <f t="shared" si="47"/>
        <v>34.443638276174283</v>
      </c>
      <c r="N227" s="1">
        <f t="shared" si="48"/>
        <v>0</v>
      </c>
      <c r="Q227" s="1">
        <f t="shared" si="49"/>
        <v>0</v>
      </c>
      <c r="S227" s="1">
        <f t="shared" si="50"/>
        <v>0</v>
      </c>
      <c r="V227" s="1">
        <f t="shared" si="51"/>
        <v>1.0406112877297279E+98</v>
      </c>
      <c r="Z227" s="1">
        <f t="shared" si="52"/>
        <v>0</v>
      </c>
      <c r="AC227" s="1">
        <f t="shared" si="53"/>
        <v>0</v>
      </c>
      <c r="AF227" s="1">
        <f t="shared" si="37"/>
        <v>1.021125599629688</v>
      </c>
      <c r="AI227" s="1">
        <f t="shared" si="38"/>
        <v>2.2046091757847222E-164</v>
      </c>
      <c r="AK227" s="1">
        <f t="shared" si="39"/>
        <v>2.2046091757847222E-162</v>
      </c>
      <c r="AM227" s="1">
        <f t="shared" si="40"/>
        <v>6.594045391180626E-162</v>
      </c>
      <c r="AO227" s="1">
        <f t="shared" si="41"/>
        <v>6.594045391180626E-162</v>
      </c>
      <c r="AQ227" s="1">
        <f t="shared" si="42"/>
        <v>6.5940453911806267E-165</v>
      </c>
    </row>
    <row r="228" spans="2:43" x14ac:dyDescent="0.25">
      <c r="B228" s="1">
        <f t="shared" si="43"/>
        <v>2300</v>
      </c>
      <c r="D228" s="1">
        <f t="shared" si="44"/>
        <v>0.99747374636306974</v>
      </c>
      <c r="F228" s="1">
        <f t="shared" si="45"/>
        <v>19.605760960636186</v>
      </c>
      <c r="I228" s="1">
        <f t="shared" si="46"/>
        <v>3.3252102485541057E-169</v>
      </c>
      <c r="L228" s="1">
        <f t="shared" si="47"/>
        <v>34.746452098940367</v>
      </c>
      <c r="N228" s="1">
        <f t="shared" si="48"/>
        <v>0</v>
      </c>
      <c r="Q228" s="1">
        <f t="shared" si="49"/>
        <v>0</v>
      </c>
      <c r="S228" s="1">
        <f t="shared" si="50"/>
        <v>0</v>
      </c>
      <c r="V228" s="1">
        <f t="shared" si="51"/>
        <v>1.0406112877297279E+98</v>
      </c>
      <c r="Z228" s="1">
        <f t="shared" si="52"/>
        <v>0</v>
      </c>
      <c r="AC228" s="1">
        <f t="shared" si="53"/>
        <v>0</v>
      </c>
      <c r="AF228" s="1">
        <f t="shared" si="37"/>
        <v>1.023194583600028</v>
      </c>
      <c r="AI228" s="1">
        <f t="shared" si="38"/>
        <v>1.6584049620350691E-169</v>
      </c>
      <c r="AK228" s="1">
        <f t="shared" si="39"/>
        <v>1.658404962035069E-167</v>
      </c>
      <c r="AM228" s="1">
        <f t="shared" si="40"/>
        <v>4.9603338844518524E-167</v>
      </c>
      <c r="AO228" s="1">
        <f t="shared" si="41"/>
        <v>4.9603338844518524E-167</v>
      </c>
      <c r="AQ228" s="1">
        <f t="shared" si="42"/>
        <v>4.9603338844518529E-170</v>
      </c>
    </row>
    <row r="229" spans="2:43" x14ac:dyDescent="0.25">
      <c r="B229" s="1">
        <f t="shared" si="43"/>
        <v>2320</v>
      </c>
      <c r="D229" s="1">
        <f t="shared" si="44"/>
        <v>0.99747374636306974</v>
      </c>
      <c r="F229" s="1">
        <f t="shared" si="45"/>
        <v>19.908574783402269</v>
      </c>
      <c r="I229" s="1">
        <f t="shared" si="46"/>
        <v>2.0827377331626818E-174</v>
      </c>
      <c r="L229" s="1">
        <f t="shared" si="47"/>
        <v>35.049265921706457</v>
      </c>
      <c r="N229" s="1">
        <f t="shared" si="48"/>
        <v>0</v>
      </c>
      <c r="Q229" s="1">
        <f t="shared" si="49"/>
        <v>0</v>
      </c>
      <c r="S229" s="1">
        <f t="shared" si="50"/>
        <v>0</v>
      </c>
      <c r="V229" s="1">
        <f t="shared" si="51"/>
        <v>1.0406112877297279E+98</v>
      </c>
      <c r="Z229" s="1">
        <f t="shared" si="52"/>
        <v>0</v>
      </c>
      <c r="AC229" s="1">
        <f t="shared" si="53"/>
        <v>0</v>
      </c>
      <c r="AF229" s="1">
        <f t="shared" si="37"/>
        <v>1.0254661982527897</v>
      </c>
      <c r="AI229" s="1">
        <f t="shared" si="38"/>
        <v>1.0387381046947539E-174</v>
      </c>
      <c r="AK229" s="1">
        <f t="shared" si="39"/>
        <v>1.038738104694754E-172</v>
      </c>
      <c r="AM229" s="1">
        <f t="shared" si="40"/>
        <v>3.1068936331847079E-172</v>
      </c>
      <c r="AO229" s="1">
        <f t="shared" si="41"/>
        <v>3.1068936331847079E-172</v>
      </c>
      <c r="AQ229" s="1">
        <f t="shared" si="42"/>
        <v>3.1068936331847085E-175</v>
      </c>
    </row>
    <row r="230" spans="2:43" x14ac:dyDescent="0.25">
      <c r="B230" s="1">
        <f t="shared" si="43"/>
        <v>2340</v>
      </c>
      <c r="D230" s="1">
        <f t="shared" si="44"/>
        <v>0.99747374636306974</v>
      </c>
      <c r="F230" s="1">
        <f t="shared" si="45"/>
        <v>20.211388606168352</v>
      </c>
      <c r="I230" s="1">
        <f t="shared" si="46"/>
        <v>1.0861841875994921E-179</v>
      </c>
      <c r="L230" s="1">
        <f t="shared" si="47"/>
        <v>35.35207974447254</v>
      </c>
      <c r="N230" s="1">
        <f t="shared" si="48"/>
        <v>0</v>
      </c>
      <c r="Q230" s="1">
        <f t="shared" si="49"/>
        <v>0</v>
      </c>
      <c r="S230" s="1">
        <f t="shared" si="50"/>
        <v>0</v>
      </c>
      <c r="V230" s="1">
        <f t="shared" si="51"/>
        <v>1.0406112877297279E+98</v>
      </c>
      <c r="Z230" s="1">
        <f t="shared" si="52"/>
        <v>0</v>
      </c>
      <c r="AC230" s="1">
        <f t="shared" si="53"/>
        <v>0</v>
      </c>
      <c r="AF230" s="1">
        <f t="shared" si="37"/>
        <v>1.0279602886878125</v>
      </c>
      <c r="AI230" s="1">
        <f t="shared" si="38"/>
        <v>5.4172010542259636E-180</v>
      </c>
      <c r="AK230" s="1">
        <f t="shared" si="39"/>
        <v>5.4172010542259631E-178</v>
      </c>
      <c r="AM230" s="1">
        <f t="shared" si="40"/>
        <v>1.6202994180137482E-177</v>
      </c>
      <c r="AO230" s="1">
        <f t="shared" si="41"/>
        <v>1.6202994180137482E-177</v>
      </c>
      <c r="AQ230" s="1">
        <f t="shared" si="42"/>
        <v>1.6202994180137483E-180</v>
      </c>
    </row>
    <row r="231" spans="2:43" x14ac:dyDescent="0.25">
      <c r="B231" s="1">
        <f t="shared" si="43"/>
        <v>2360</v>
      </c>
      <c r="D231" s="1">
        <f t="shared" si="44"/>
        <v>0.99747374636306974</v>
      </c>
      <c r="F231" s="1">
        <f t="shared" si="45"/>
        <v>20.514202428934436</v>
      </c>
      <c r="I231" s="1">
        <f t="shared" si="46"/>
        <v>4.7165325736490981E-185</v>
      </c>
      <c r="L231" s="1">
        <f t="shared" si="47"/>
        <v>35.654893567238624</v>
      </c>
      <c r="N231" s="1">
        <f t="shared" si="48"/>
        <v>0</v>
      </c>
      <c r="Q231" s="1">
        <f t="shared" si="49"/>
        <v>0</v>
      </c>
      <c r="S231" s="1">
        <f t="shared" si="50"/>
        <v>0</v>
      </c>
      <c r="V231" s="1">
        <f t="shared" si="51"/>
        <v>1.0406112877297279E+98</v>
      </c>
      <c r="Z231" s="1">
        <f t="shared" si="52"/>
        <v>0</v>
      </c>
      <c r="AC231" s="1">
        <f t="shared" si="53"/>
        <v>0</v>
      </c>
      <c r="AF231" s="1">
        <f t="shared" si="37"/>
        <v>1.0306986435802283</v>
      </c>
      <c r="AI231" s="1">
        <f t="shared" si="38"/>
        <v>2.3523087080406085E-185</v>
      </c>
      <c r="AK231" s="1">
        <f t="shared" si="39"/>
        <v>2.3523087080406085E-183</v>
      </c>
      <c r="AM231" s="1">
        <f t="shared" si="40"/>
        <v>7.0358186681174745E-183</v>
      </c>
      <c r="AO231" s="1">
        <f t="shared" si="41"/>
        <v>7.0358186681174745E-183</v>
      </c>
      <c r="AQ231" s="1">
        <f t="shared" si="42"/>
        <v>7.0358186681174747E-186</v>
      </c>
    </row>
    <row r="232" spans="2:43" x14ac:dyDescent="0.25">
      <c r="B232" s="1">
        <f t="shared" si="43"/>
        <v>2380</v>
      </c>
      <c r="D232" s="1">
        <f t="shared" si="44"/>
        <v>0.99747374636306974</v>
      </c>
      <c r="F232" s="1">
        <f t="shared" si="45"/>
        <v>20.817016251700519</v>
      </c>
      <c r="I232" s="1">
        <f t="shared" si="46"/>
        <v>1.7052570533938502E-190</v>
      </c>
      <c r="L232" s="1">
        <f t="shared" si="47"/>
        <v>35.957707390004707</v>
      </c>
      <c r="N232" s="1">
        <f t="shared" si="48"/>
        <v>0</v>
      </c>
      <c r="Q232" s="1">
        <f t="shared" si="49"/>
        <v>0</v>
      </c>
      <c r="S232" s="1">
        <f t="shared" si="50"/>
        <v>0</v>
      </c>
      <c r="V232" s="1">
        <f t="shared" si="51"/>
        <v>1.0406112877297279E+98</v>
      </c>
      <c r="Z232" s="1">
        <f t="shared" si="52"/>
        <v>0</v>
      </c>
      <c r="AC232" s="1">
        <f t="shared" si="53"/>
        <v>0</v>
      </c>
      <c r="AF232" s="1">
        <f t="shared" si="37"/>
        <v>1.0337051855289558</v>
      </c>
      <c r="AI232" s="1">
        <f t="shared" si="38"/>
        <v>8.5047457078040652E-191</v>
      </c>
      <c r="AK232" s="1">
        <f t="shared" si="39"/>
        <v>8.5047457078040648E-189</v>
      </c>
      <c r="AM232" s="1">
        <f t="shared" si="40"/>
        <v>2.5437923353352145E-188</v>
      </c>
      <c r="AO232" s="1">
        <f t="shared" si="41"/>
        <v>2.5437923353352145E-188</v>
      </c>
      <c r="AQ232" s="1">
        <f t="shared" si="42"/>
        <v>2.5437923353352146E-191</v>
      </c>
    </row>
    <row r="233" spans="2:43" x14ac:dyDescent="0.25">
      <c r="B233" s="1">
        <f t="shared" si="43"/>
        <v>2400</v>
      </c>
      <c r="D233" s="1">
        <f t="shared" si="44"/>
        <v>0.99747374636306974</v>
      </c>
      <c r="F233" s="1">
        <f t="shared" si="45"/>
        <v>21.119830074466602</v>
      </c>
      <c r="I233" s="1">
        <f t="shared" si="46"/>
        <v>5.1333612705891105E-196</v>
      </c>
      <c r="L233" s="1">
        <f t="shared" si="47"/>
        <v>36.26052121277079</v>
      </c>
      <c r="N233" s="1">
        <f t="shared" si="48"/>
        <v>0</v>
      </c>
      <c r="Q233" s="1">
        <f t="shared" si="49"/>
        <v>0</v>
      </c>
      <c r="S233" s="1">
        <f t="shared" si="50"/>
        <v>0</v>
      </c>
      <c r="V233" s="1">
        <f t="shared" si="51"/>
        <v>1.0406112877297279E+98</v>
      </c>
      <c r="Z233" s="1">
        <f t="shared" si="52"/>
        <v>0</v>
      </c>
      <c r="AC233" s="1">
        <f t="shared" si="53"/>
        <v>0</v>
      </c>
      <c r="AF233" s="1">
        <f t="shared" si="37"/>
        <v>1.0370061800474144</v>
      </c>
      <c r="AI233" s="1">
        <f t="shared" si="38"/>
        <v>2.5601965490048041E-196</v>
      </c>
      <c r="AK233" s="1">
        <f t="shared" si="39"/>
        <v>2.560196549004804E-194</v>
      </c>
      <c r="AM233" s="1">
        <f t="shared" si="40"/>
        <v>7.6576167966245405E-194</v>
      </c>
      <c r="AO233" s="1">
        <f t="shared" si="41"/>
        <v>7.6576167966245405E-194</v>
      </c>
      <c r="AQ233" s="1">
        <f t="shared" si="42"/>
        <v>7.6576167966245402E-197</v>
      </c>
    </row>
    <row r="234" spans="2:43" x14ac:dyDescent="0.25">
      <c r="B234" s="1">
        <f t="shared" si="43"/>
        <v>2420</v>
      </c>
      <c r="D234" s="1">
        <f t="shared" si="44"/>
        <v>0.99747374636306974</v>
      </c>
      <c r="F234" s="1">
        <f t="shared" si="45"/>
        <v>21.422643897232685</v>
      </c>
      <c r="I234" s="1">
        <f t="shared" si="46"/>
        <v>1.2866374312100464E-201</v>
      </c>
      <c r="L234" s="1">
        <f t="shared" si="47"/>
        <v>36.563335035536873</v>
      </c>
      <c r="N234" s="1">
        <f t="shared" si="48"/>
        <v>0</v>
      </c>
      <c r="Q234" s="1">
        <f t="shared" si="49"/>
        <v>0</v>
      </c>
      <c r="S234" s="1">
        <f t="shared" si="50"/>
        <v>0</v>
      </c>
      <c r="V234" s="1">
        <f t="shared" si="51"/>
        <v>1.0406112877297279E+98</v>
      </c>
      <c r="Z234" s="1">
        <f t="shared" si="52"/>
        <v>0</v>
      </c>
      <c r="AC234" s="1">
        <f t="shared" si="53"/>
        <v>0</v>
      </c>
      <c r="AF234" s="1">
        <f t="shared" si="37"/>
        <v>1.0406304650222196</v>
      </c>
      <c r="AI234" s="1">
        <f t="shared" si="38"/>
        <v>6.4169352936002075E-202</v>
      </c>
      <c r="AK234" s="1">
        <f t="shared" si="39"/>
        <v>6.4169352936002072E-200</v>
      </c>
      <c r="AM234" s="1">
        <f t="shared" si="40"/>
        <v>1.9193226202194043E-199</v>
      </c>
      <c r="AO234" s="1">
        <f t="shared" si="41"/>
        <v>1.9193226202194043E-199</v>
      </c>
      <c r="AQ234" s="1">
        <f t="shared" si="42"/>
        <v>1.9193226202194046E-202</v>
      </c>
    </row>
    <row r="235" spans="2:43" x14ac:dyDescent="0.25">
      <c r="B235" s="1">
        <f t="shared" si="43"/>
        <v>2440</v>
      </c>
      <c r="D235" s="1">
        <f t="shared" si="44"/>
        <v>0.99747374636306974</v>
      </c>
      <c r="F235" s="1">
        <f t="shared" si="45"/>
        <v>21.725457719998769</v>
      </c>
      <c r="I235" s="1">
        <f t="shared" si="46"/>
        <v>2.6850380050734133E-207</v>
      </c>
      <c r="L235" s="1">
        <f t="shared" si="47"/>
        <v>36.866148858302957</v>
      </c>
      <c r="N235" s="1">
        <f t="shared" si="48"/>
        <v>0</v>
      </c>
      <c r="Q235" s="1">
        <f t="shared" si="49"/>
        <v>0</v>
      </c>
      <c r="S235" s="1">
        <f t="shared" si="50"/>
        <v>0</v>
      </c>
      <c r="V235" s="1">
        <f t="shared" si="51"/>
        <v>1.0406112877297279E+98</v>
      </c>
      <c r="Z235" s="1">
        <f t="shared" si="52"/>
        <v>0</v>
      </c>
      <c r="AC235" s="1">
        <f t="shared" si="53"/>
        <v>0</v>
      </c>
      <c r="AF235" s="1">
        <f t="shared" si="37"/>
        <v>1.044609702644441</v>
      </c>
      <c r="AI235" s="1">
        <f t="shared" si="38"/>
        <v>1.3391274590239003E-207</v>
      </c>
      <c r="AK235" s="1">
        <f t="shared" si="39"/>
        <v>1.3391274590239004E-205</v>
      </c>
      <c r="AM235" s="1">
        <f t="shared" si="40"/>
        <v>4.0053662782369902E-205</v>
      </c>
      <c r="AO235" s="1">
        <f t="shared" si="41"/>
        <v>4.0053662782369902E-205</v>
      </c>
      <c r="AQ235" s="1">
        <f t="shared" si="42"/>
        <v>4.0053662782369909E-208</v>
      </c>
    </row>
    <row r="236" spans="2:43" x14ac:dyDescent="0.25">
      <c r="B236" s="1">
        <f t="shared" si="43"/>
        <v>2460</v>
      </c>
      <c r="D236" s="1">
        <f t="shared" si="44"/>
        <v>0.99747374636306974</v>
      </c>
      <c r="F236" s="1">
        <f t="shared" si="45"/>
        <v>22.028271542764855</v>
      </c>
      <c r="I236" s="1">
        <f t="shared" si="46"/>
        <v>4.6653284431204175E-213</v>
      </c>
      <c r="L236" s="1">
        <f t="shared" si="47"/>
        <v>37.16896268106904</v>
      </c>
      <c r="N236" s="1">
        <f t="shared" si="48"/>
        <v>0</v>
      </c>
      <c r="Q236" s="1">
        <f t="shared" si="49"/>
        <v>0</v>
      </c>
      <c r="S236" s="1">
        <f t="shared" si="50"/>
        <v>0</v>
      </c>
      <c r="V236" s="1">
        <f t="shared" si="51"/>
        <v>1.0406112877297279E+98</v>
      </c>
      <c r="Z236" s="1">
        <f t="shared" si="52"/>
        <v>0</v>
      </c>
      <c r="AC236" s="1">
        <f t="shared" si="53"/>
        <v>0</v>
      </c>
      <c r="AF236" s="1">
        <f t="shared" si="37"/>
        <v>1.048978656014327</v>
      </c>
      <c r="AI236" s="1">
        <f t="shared" si="38"/>
        <v>2.326771320086755E-213</v>
      </c>
      <c r="AK236" s="1">
        <f t="shared" si="39"/>
        <v>2.3267713200867549E-211</v>
      </c>
      <c r="AM236" s="1">
        <f t="shared" si="40"/>
        <v>6.9594356533003648E-211</v>
      </c>
      <c r="AO236" s="1">
        <f t="shared" si="41"/>
        <v>6.9594356533003648E-211</v>
      </c>
      <c r="AQ236" s="1">
        <f t="shared" si="42"/>
        <v>6.9594356533003655E-214</v>
      </c>
    </row>
    <row r="237" spans="2:43" x14ac:dyDescent="0.25">
      <c r="B237" s="1">
        <f t="shared" si="43"/>
        <v>2480</v>
      </c>
      <c r="D237" s="1">
        <f t="shared" si="44"/>
        <v>0.99747374636306974</v>
      </c>
      <c r="F237" s="1">
        <f t="shared" si="45"/>
        <v>22.331085365530939</v>
      </c>
      <c r="I237" s="1">
        <f t="shared" si="46"/>
        <v>6.7491528845664348E-219</v>
      </c>
      <c r="L237" s="1">
        <f t="shared" si="47"/>
        <v>37.471776503835123</v>
      </c>
      <c r="N237" s="1">
        <f t="shared" si="48"/>
        <v>0</v>
      </c>
      <c r="Q237" s="1">
        <f t="shared" si="49"/>
        <v>0</v>
      </c>
      <c r="S237" s="1">
        <f t="shared" si="50"/>
        <v>0</v>
      </c>
      <c r="V237" s="1">
        <f t="shared" si="51"/>
        <v>1.0406112877297279E+98</v>
      </c>
      <c r="Z237" s="1">
        <f t="shared" si="52"/>
        <v>0</v>
      </c>
      <c r="AC237" s="1">
        <f t="shared" si="53"/>
        <v>0</v>
      </c>
      <c r="AF237" s="1">
        <f t="shared" si="37"/>
        <v>1.0537754928359453</v>
      </c>
      <c r="AI237" s="1">
        <f t="shared" si="38"/>
        <v>3.3660514062728004E-219</v>
      </c>
      <c r="AK237" s="1">
        <f t="shared" si="39"/>
        <v>3.3660514062728005E-217</v>
      </c>
      <c r="AM237" s="1">
        <f t="shared" si="40"/>
        <v>1.0067950367715257E-216</v>
      </c>
      <c r="AO237" s="1">
        <f t="shared" si="41"/>
        <v>1.0067950367715257E-216</v>
      </c>
      <c r="AQ237" s="1">
        <f t="shared" si="42"/>
        <v>1.0067950367715258E-219</v>
      </c>
    </row>
    <row r="238" spans="2:43" x14ac:dyDescent="0.25">
      <c r="B238" s="1">
        <f t="shared" si="43"/>
        <v>2500</v>
      </c>
      <c r="D238" s="1">
        <f t="shared" si="44"/>
        <v>0.99747374636306974</v>
      </c>
      <c r="F238" s="1">
        <f t="shared" si="45"/>
        <v>22.633899188297022</v>
      </c>
      <c r="I238" s="1">
        <f t="shared" si="46"/>
        <v>8.1292294059624925E-225</v>
      </c>
      <c r="L238" s="1">
        <f t="shared" si="47"/>
        <v>37.774590326601206</v>
      </c>
      <c r="N238" s="1">
        <f t="shared" si="48"/>
        <v>0</v>
      </c>
      <c r="Q238" s="1">
        <f t="shared" si="49"/>
        <v>0</v>
      </c>
      <c r="S238" s="1">
        <f t="shared" si="50"/>
        <v>0</v>
      </c>
      <c r="V238" s="1">
        <f t="shared" si="51"/>
        <v>1.0406112877297279E+98</v>
      </c>
      <c r="Z238" s="1">
        <f t="shared" si="52"/>
        <v>0</v>
      </c>
      <c r="AC238" s="1">
        <f t="shared" si="53"/>
        <v>0</v>
      </c>
      <c r="AF238" s="1">
        <f t="shared" si="37"/>
        <v>1.059042118854852</v>
      </c>
      <c r="AI238" s="1">
        <f t="shared" si="38"/>
        <v>4.0543464553051198E-225</v>
      </c>
      <c r="AK238" s="1">
        <f t="shared" si="39"/>
        <v>4.0543464553051195E-223</v>
      </c>
      <c r="AM238" s="1">
        <f t="shared" si="40"/>
        <v>1.2126659387752105E-222</v>
      </c>
      <c r="AO238" s="1">
        <f t="shared" si="41"/>
        <v>1.2126659387752105E-222</v>
      </c>
      <c r="AQ238" s="1">
        <f t="shared" si="42"/>
        <v>1.2126659387752106E-225</v>
      </c>
    </row>
    <row r="239" spans="2:43" x14ac:dyDescent="0.25">
      <c r="B239" s="1">
        <f t="shared" si="43"/>
        <v>2520</v>
      </c>
      <c r="D239" s="1">
        <f t="shared" si="44"/>
        <v>0.99747374636306974</v>
      </c>
      <c r="F239" s="1">
        <f t="shared" si="45"/>
        <v>22.936713011063105</v>
      </c>
      <c r="I239" s="1">
        <f t="shared" si="46"/>
        <v>8.1523058754053981E-231</v>
      </c>
      <c r="L239" s="1">
        <f t="shared" si="47"/>
        <v>38.07740414936729</v>
      </c>
      <c r="N239" s="1">
        <f t="shared" si="48"/>
        <v>0</v>
      </c>
      <c r="Q239" s="1">
        <f t="shared" si="49"/>
        <v>0</v>
      </c>
      <c r="S239" s="1">
        <f t="shared" si="50"/>
        <v>0</v>
      </c>
      <c r="V239" s="1">
        <f t="shared" si="51"/>
        <v>1.0406112877297279E+98</v>
      </c>
      <c r="Z239" s="1">
        <f t="shared" si="52"/>
        <v>0</v>
      </c>
      <c r="AC239" s="1">
        <f t="shared" si="53"/>
        <v>0</v>
      </c>
      <c r="AF239" s="1">
        <f t="shared" si="37"/>
        <v>1.0648245439517443</v>
      </c>
      <c r="AI239" s="1">
        <f t="shared" si="38"/>
        <v>4.0658555415191439E-231</v>
      </c>
      <c r="AK239" s="1">
        <f t="shared" si="39"/>
        <v>4.0658555415191443E-229</v>
      </c>
      <c r="AM239" s="1">
        <f t="shared" si="40"/>
        <v>1.2161083374434132E-228</v>
      </c>
      <c r="AO239" s="1">
        <f t="shared" si="41"/>
        <v>1.2161083374434132E-228</v>
      </c>
      <c r="AQ239" s="1">
        <f t="shared" si="42"/>
        <v>1.2161083374434133E-231</v>
      </c>
    </row>
    <row r="240" spans="2:43" x14ac:dyDescent="0.25">
      <c r="B240" s="1">
        <f t="shared" si="43"/>
        <v>2540</v>
      </c>
      <c r="D240" s="1">
        <f t="shared" si="44"/>
        <v>0.99747374636306974</v>
      </c>
      <c r="F240" s="1">
        <f t="shared" si="45"/>
        <v>23.239526833829188</v>
      </c>
      <c r="I240" s="1">
        <f t="shared" si="46"/>
        <v>6.8067611252431416E-237</v>
      </c>
      <c r="L240" s="1">
        <f t="shared" si="47"/>
        <v>38.380217972133373</v>
      </c>
      <c r="N240" s="1">
        <f t="shared" si="48"/>
        <v>0</v>
      </c>
      <c r="Q240" s="1">
        <f t="shared" si="49"/>
        <v>0</v>
      </c>
      <c r="S240" s="1">
        <f t="shared" si="50"/>
        <v>0</v>
      </c>
      <c r="V240" s="1">
        <f t="shared" si="51"/>
        <v>1.0406112877297279E+98</v>
      </c>
      <c r="Z240" s="1">
        <f t="shared" si="52"/>
        <v>0</v>
      </c>
      <c r="AC240" s="1">
        <f t="shared" si="53"/>
        <v>0</v>
      </c>
      <c r="AF240" s="1">
        <f t="shared" si="37"/>
        <v>1.0711732840903341</v>
      </c>
      <c r="AI240" s="1">
        <f t="shared" si="38"/>
        <v>3.3947827600973901E-237</v>
      </c>
      <c r="AK240" s="1">
        <f t="shared" si="39"/>
        <v>3.3947827600973905E-235</v>
      </c>
      <c r="AM240" s="1">
        <f t="shared" si="40"/>
        <v>1.015388662043088E-234</v>
      </c>
      <c r="AO240" s="1">
        <f t="shared" si="41"/>
        <v>1.015388662043088E-234</v>
      </c>
      <c r="AQ240" s="1">
        <f t="shared" si="42"/>
        <v>1.0153886620430881E-237</v>
      </c>
    </row>
    <row r="241" spans="2:43" x14ac:dyDescent="0.25">
      <c r="B241" s="1">
        <f t="shared" si="43"/>
        <v>2560</v>
      </c>
      <c r="D241" s="1">
        <f t="shared" si="44"/>
        <v>0.99747374636306974</v>
      </c>
      <c r="F241" s="1">
        <f t="shared" si="45"/>
        <v>23.542340656595272</v>
      </c>
      <c r="I241" s="1">
        <f t="shared" si="46"/>
        <v>4.7318129930462387E-243</v>
      </c>
      <c r="L241" s="1">
        <f t="shared" si="47"/>
        <v>38.683031794899456</v>
      </c>
      <c r="N241" s="1">
        <f t="shared" si="48"/>
        <v>0</v>
      </c>
      <c r="Q241" s="1">
        <f t="shared" si="49"/>
        <v>0</v>
      </c>
      <c r="S241" s="1">
        <f t="shared" si="50"/>
        <v>0</v>
      </c>
      <c r="V241" s="1">
        <f t="shared" si="51"/>
        <v>1.0406112877297279E+98</v>
      </c>
      <c r="Z241" s="1">
        <f t="shared" si="52"/>
        <v>0</v>
      </c>
      <c r="AC241" s="1">
        <f t="shared" si="53"/>
        <v>0</v>
      </c>
      <c r="AF241" s="1">
        <f t="shared" si="37"/>
        <v>1.0781438026309027</v>
      </c>
      <c r="AI241" s="1">
        <f t="shared" si="38"/>
        <v>2.3599296166316408E-243</v>
      </c>
      <c r="AK241" s="1">
        <f t="shared" si="39"/>
        <v>2.3599296166316407E-241</v>
      </c>
      <c r="AM241" s="1">
        <f t="shared" si="40"/>
        <v>7.0586130108623371E-241</v>
      </c>
      <c r="AO241" s="1">
        <f t="shared" si="41"/>
        <v>7.0586130108623371E-241</v>
      </c>
      <c r="AQ241" s="1">
        <f t="shared" si="42"/>
        <v>7.0586130108623369E-244</v>
      </c>
    </row>
    <row r="242" spans="2:43" x14ac:dyDescent="0.25">
      <c r="B242" s="1">
        <f t="shared" si="43"/>
        <v>2580</v>
      </c>
      <c r="D242" s="1">
        <f t="shared" ref="D242:D263" si="54">EXP(-0.693/$M$6*$M$19)</f>
        <v>0.99747374636306974</v>
      </c>
      <c r="F242" s="1">
        <f t="shared" ref="F242:F263" si="55">(B242-$M$13-($I$33*$M$19))/POWER(4*$T$33*$M$19,0.5)</f>
        <v>23.845154479361355</v>
      </c>
      <c r="I242" s="1">
        <f t="shared" ref="I242:I263" si="56">IF(F242&gt;0,ERFC(IF(F242&lt;27,F242,27)),1+ERF(IF(-F242&lt;27,-F242,27)))</f>
        <v>2.7386705352743225E-249</v>
      </c>
      <c r="L242" s="1">
        <f t="shared" ref="L242:L263" si="57">(B242-($M$19*$I$33))/POWER(4*$T$33*$M$19,0.5)</f>
        <v>38.985845617665539</v>
      </c>
      <c r="N242" s="1">
        <f t="shared" ref="N242:N263" si="58">IF(L242&gt;0,ERFC(IF(L242&lt;27,L242,27)),1+ERF(IF(-L242&lt;27,-L242,27)))</f>
        <v>0</v>
      </c>
      <c r="Q242" s="1">
        <f t="shared" ref="Q242:Q263" si="59">IF((B242+$M$13+$I$33*$M$19)/POWER(4*$T$33*$M$19,0.5)&gt;27,ERFC(27),ERFC((B242+$M$13+$I$33*$M$19)/POWER(4*$T$33*$M$19,0.5)))</f>
        <v>0</v>
      </c>
      <c r="S242" s="1">
        <f t="shared" ref="S242:S263" si="60">IF((B242+$I$33*$M$19)/(POWER(4*$T$33*$M$19,0.5))&gt;27,ERFC(27),ERFC((B242+$I$33*$M$19)/(POWER(4*$T$33*$M$19,0.5))))</f>
        <v>0</v>
      </c>
      <c r="V242" s="1">
        <f t="shared" ref="V242:V263" si="61">(2+$I$33/$C$39)*EXP(IF(($C$39*($C$39+$I$33)*$M$19+($C$39+$I$33)*B242)/$T$33&gt;225,225,($C$39*($C$39+$I$33)*$M$19+($C$39+$I$33)*B242)/$T$33))</f>
        <v>1.0406112877297279E+98</v>
      </c>
      <c r="Z242" s="1">
        <f t="shared" ref="Z242:Z263" si="62">IF((B242+((2*$C$39+$I$33)*$M$19))/POWER(4*$T$33*$M$19,0.5)&gt;27,ERFC(27),ERFC((B242+((2*$C$39+$I$33)*$M$19))/POWER(4*$T$33*$M$19,0.5)))</f>
        <v>0</v>
      </c>
      <c r="AC242" s="1">
        <f t="shared" ref="AC242:AC263" si="63">IF((B242+$M$13+((2*$C$39+$I$33)*$M$19))/POWER(4*$T$33*$M$19,0.5)&gt;27,ERFC(27),ERFC((B242+$M$13+((2*$C$39+$I$33)*$M$19))/POWER(4*$T$33*$M$19,0.5)))</f>
        <v>0</v>
      </c>
      <c r="AF242" s="1">
        <f t="shared" si="37"/>
        <v>1.0857969948649144</v>
      </c>
      <c r="AI242" s="1">
        <f t="shared" si="38"/>
        <v>1.365875979437116E-249</v>
      </c>
      <c r="AK242" s="1">
        <f t="shared" si="39"/>
        <v>1.365875979437116E-247</v>
      </c>
      <c r="AM242" s="1">
        <f t="shared" si="40"/>
        <v>4.0853718228428199E-247</v>
      </c>
      <c r="AO242" s="1">
        <f t="shared" si="41"/>
        <v>4.0853718228428199E-247</v>
      </c>
      <c r="AQ242" s="1">
        <f t="shared" si="42"/>
        <v>4.0853718228428204E-250</v>
      </c>
    </row>
    <row r="243" spans="2:43" x14ac:dyDescent="0.25">
      <c r="B243" s="1">
        <f t="shared" si="43"/>
        <v>2600</v>
      </c>
      <c r="D243" s="1">
        <f t="shared" si="54"/>
        <v>0.99747374636306974</v>
      </c>
      <c r="F243" s="1">
        <f t="shared" si="55"/>
        <v>24.147968302127438</v>
      </c>
      <c r="I243" s="1">
        <f t="shared" si="56"/>
        <v>1.3197004539693529E-255</v>
      </c>
      <c r="L243" s="1">
        <f t="shared" si="57"/>
        <v>39.288659440431623</v>
      </c>
      <c r="N243" s="1">
        <f t="shared" si="58"/>
        <v>0</v>
      </c>
      <c r="Q243" s="1">
        <f t="shared" si="59"/>
        <v>0</v>
      </c>
      <c r="S243" s="1">
        <f t="shared" si="60"/>
        <v>0</v>
      </c>
      <c r="V243" s="1">
        <f t="shared" si="61"/>
        <v>1.0406112877297279E+98</v>
      </c>
      <c r="Z243" s="1">
        <f t="shared" si="62"/>
        <v>0</v>
      </c>
      <c r="AC243" s="1">
        <f t="shared" si="63"/>
        <v>0</v>
      </c>
      <c r="AF243" s="1">
        <f t="shared" ref="AF243:AF263" si="64">1+($I$33/$C$39)*EXP($I$33*B243/$T$33)</f>
        <v>1.0941997200036324</v>
      </c>
      <c r="AI243" s="1">
        <f t="shared" ref="AI243:AI263" si="65">0.5*D243*((I243-N243)+(AF243)*(Q243-S243)+V243*(Z243-($R$81*AC243)))</f>
        <v>6.5818327794892711E-256</v>
      </c>
      <c r="AK243" s="1">
        <f t="shared" ref="AK243:AK263" si="66">$M$4*AI243</f>
        <v>6.581832779489271E-254</v>
      </c>
      <c r="AM243" s="1">
        <f t="shared" ref="AM243:AM263" si="67">AI243*$M$25</f>
        <v>1.9686439021403607E-253</v>
      </c>
      <c r="AO243" s="1">
        <f t="shared" ref="AO243:AO263" si="68">AI243*$M$26</f>
        <v>1.9686439021403607E-253</v>
      </c>
      <c r="AQ243" s="1">
        <f t="shared" ref="AQ243:AQ263" si="69">AI243*$M$27</f>
        <v>1.9686439021403606E-256</v>
      </c>
    </row>
    <row r="244" spans="2:43" x14ac:dyDescent="0.25">
      <c r="B244" s="1">
        <f t="shared" ref="B244:B263" si="70">B243+$M$17/150</f>
        <v>2620</v>
      </c>
      <c r="D244" s="1">
        <f t="shared" si="54"/>
        <v>0.99747374636306974</v>
      </c>
      <c r="F244" s="1">
        <f t="shared" si="55"/>
        <v>24.450782124893525</v>
      </c>
      <c r="I244" s="1">
        <f t="shared" si="56"/>
        <v>5.2945929236906964E-262</v>
      </c>
      <c r="L244" s="1">
        <f t="shared" si="57"/>
        <v>39.591473263197713</v>
      </c>
      <c r="N244" s="1">
        <f t="shared" si="58"/>
        <v>0</v>
      </c>
      <c r="Q244" s="1">
        <f t="shared" si="59"/>
        <v>0</v>
      </c>
      <c r="S244" s="1">
        <f t="shared" si="60"/>
        <v>0</v>
      </c>
      <c r="V244" s="1">
        <f t="shared" si="61"/>
        <v>1.0406112877297279E+98</v>
      </c>
      <c r="Z244" s="1">
        <f t="shared" si="62"/>
        <v>0</v>
      </c>
      <c r="AC244" s="1">
        <f t="shared" si="63"/>
        <v>0</v>
      </c>
      <c r="AF244" s="1">
        <f t="shared" si="64"/>
        <v>1.1034253852682605</v>
      </c>
      <c r="AI244" s="1">
        <f t="shared" si="65"/>
        <v>2.6406087195305788E-262</v>
      </c>
      <c r="AK244" s="1">
        <f t="shared" si="66"/>
        <v>2.6406087195305788E-260</v>
      </c>
      <c r="AM244" s="1">
        <f t="shared" si="67"/>
        <v>7.8981317633018329E-260</v>
      </c>
      <c r="AO244" s="1">
        <f t="shared" si="68"/>
        <v>7.8981317633018329E-260</v>
      </c>
      <c r="AQ244" s="1">
        <f t="shared" si="69"/>
        <v>7.8981317633018327E-263</v>
      </c>
    </row>
    <row r="245" spans="2:43" x14ac:dyDescent="0.25">
      <c r="B245" s="1">
        <f t="shared" si="70"/>
        <v>2640</v>
      </c>
      <c r="D245" s="1">
        <f t="shared" si="54"/>
        <v>0.99747374636306974</v>
      </c>
      <c r="F245" s="1">
        <f t="shared" si="55"/>
        <v>24.753595947659608</v>
      </c>
      <c r="I245" s="1">
        <f t="shared" si="56"/>
        <v>1.7685190865436082E-268</v>
      </c>
      <c r="L245" s="1">
        <f t="shared" si="57"/>
        <v>39.894287085963796</v>
      </c>
      <c r="N245" s="1">
        <f t="shared" si="58"/>
        <v>0</v>
      </c>
      <c r="Q245" s="1">
        <f t="shared" si="59"/>
        <v>0</v>
      </c>
      <c r="S245" s="1">
        <f t="shared" si="60"/>
        <v>0</v>
      </c>
      <c r="V245" s="1">
        <f t="shared" si="61"/>
        <v>1.0406112877297279E+98</v>
      </c>
      <c r="Z245" s="1">
        <f t="shared" si="62"/>
        <v>0</v>
      </c>
      <c r="AC245" s="1">
        <f t="shared" si="63"/>
        <v>0</v>
      </c>
      <c r="AF245" s="1">
        <f t="shared" si="64"/>
        <v>1.1135545871842893</v>
      </c>
      <c r="AI245" s="1">
        <f t="shared" si="65"/>
        <v>8.8202567938462343E-269</v>
      </c>
      <c r="AK245" s="1">
        <f t="shared" si="66"/>
        <v>8.8202567938462335E-267</v>
      </c>
      <c r="AM245" s="1">
        <f t="shared" si="67"/>
        <v>2.6381625505023636E-266</v>
      </c>
      <c r="AO245" s="1">
        <f t="shared" si="68"/>
        <v>2.6381625505023636E-266</v>
      </c>
      <c r="AQ245" s="1">
        <f t="shared" si="69"/>
        <v>2.638162550502364E-269</v>
      </c>
    </row>
    <row r="246" spans="2:43" x14ac:dyDescent="0.25">
      <c r="B246" s="1">
        <f t="shared" si="70"/>
        <v>2660</v>
      </c>
      <c r="D246" s="1">
        <f t="shared" si="54"/>
        <v>0.99747374636306974</v>
      </c>
      <c r="F246" s="1">
        <f t="shared" si="55"/>
        <v>25.056409770425692</v>
      </c>
      <c r="I246" s="1">
        <f t="shared" si="56"/>
        <v>4.918189871858028E-275</v>
      </c>
      <c r="L246" s="1">
        <f t="shared" si="57"/>
        <v>40.19710090872988</v>
      </c>
      <c r="N246" s="1">
        <f t="shared" si="58"/>
        <v>0</v>
      </c>
      <c r="Q246" s="1">
        <f t="shared" si="59"/>
        <v>0</v>
      </c>
      <c r="S246" s="1">
        <f t="shared" si="60"/>
        <v>0</v>
      </c>
      <c r="V246" s="1">
        <f t="shared" si="61"/>
        <v>1.0406112877297279E+98</v>
      </c>
      <c r="Z246" s="1">
        <f t="shared" si="62"/>
        <v>0</v>
      </c>
      <c r="AC246" s="1">
        <f t="shared" si="63"/>
        <v>0</v>
      </c>
      <c r="AF246" s="1">
        <f t="shared" si="64"/>
        <v>1.1246758156824728</v>
      </c>
      <c r="AI246" s="1">
        <f t="shared" si="65"/>
        <v>2.4528826384035666E-275</v>
      </c>
      <c r="AK246" s="1">
        <f t="shared" si="66"/>
        <v>2.4528826384035667E-273</v>
      </c>
      <c r="AM246" s="1">
        <f t="shared" si="67"/>
        <v>7.33663800120708E-273</v>
      </c>
      <c r="AO246" s="1">
        <f t="shared" si="68"/>
        <v>7.33663800120708E-273</v>
      </c>
      <c r="AQ246" s="1">
        <f t="shared" si="69"/>
        <v>7.3366380012070807E-276</v>
      </c>
    </row>
    <row r="247" spans="2:43" x14ac:dyDescent="0.25">
      <c r="B247" s="1">
        <f t="shared" si="70"/>
        <v>2680</v>
      </c>
      <c r="D247" s="1">
        <f t="shared" si="54"/>
        <v>0.99747374636306974</v>
      </c>
      <c r="F247" s="1">
        <f t="shared" si="55"/>
        <v>25.359223593191775</v>
      </c>
      <c r="I247" s="1">
        <f t="shared" si="56"/>
        <v>1.1387218336255316E-281</v>
      </c>
      <c r="L247" s="1">
        <f t="shared" si="57"/>
        <v>40.499914731495963</v>
      </c>
      <c r="N247" s="1">
        <f t="shared" si="58"/>
        <v>0</v>
      </c>
      <c r="Q247" s="1">
        <f t="shared" si="59"/>
        <v>0</v>
      </c>
      <c r="S247" s="1">
        <f t="shared" si="60"/>
        <v>0</v>
      </c>
      <c r="V247" s="1">
        <f t="shared" si="61"/>
        <v>1.0406112877297279E+98</v>
      </c>
      <c r="Z247" s="1">
        <f t="shared" si="62"/>
        <v>0</v>
      </c>
      <c r="AC247" s="1">
        <f t="shared" si="63"/>
        <v>0</v>
      </c>
      <c r="AF247" s="1">
        <f t="shared" si="64"/>
        <v>1.1368862271575451</v>
      </c>
      <c r="AI247" s="1">
        <f t="shared" si="65"/>
        <v>5.6792256672594155E-282</v>
      </c>
      <c r="AK247" s="1">
        <f t="shared" si="66"/>
        <v>5.6792256672594151E-280</v>
      </c>
      <c r="AM247" s="1">
        <f t="shared" si="67"/>
        <v>1.6986716851224576E-279</v>
      </c>
      <c r="AO247" s="1">
        <f t="shared" si="68"/>
        <v>1.6986716851224576E-279</v>
      </c>
      <c r="AQ247" s="1">
        <f t="shared" si="69"/>
        <v>1.6986716851224578E-282</v>
      </c>
    </row>
    <row r="248" spans="2:43" x14ac:dyDescent="0.25">
      <c r="B248" s="1">
        <f t="shared" si="70"/>
        <v>2700</v>
      </c>
      <c r="D248" s="1">
        <f t="shared" si="54"/>
        <v>0.99747374636306974</v>
      </c>
      <c r="F248" s="1">
        <f t="shared" si="55"/>
        <v>25.662037415957858</v>
      </c>
      <c r="I248" s="1">
        <f t="shared" si="56"/>
        <v>2.1950546100398537E-288</v>
      </c>
      <c r="L248" s="1">
        <f t="shared" si="57"/>
        <v>40.802728554262046</v>
      </c>
      <c r="N248" s="1">
        <f t="shared" si="58"/>
        <v>0</v>
      </c>
      <c r="Q248" s="1">
        <f t="shared" si="59"/>
        <v>0</v>
      </c>
      <c r="S248" s="1">
        <f t="shared" si="60"/>
        <v>0</v>
      </c>
      <c r="V248" s="1">
        <f t="shared" si="61"/>
        <v>1.0406112877297279E+98</v>
      </c>
      <c r="Z248" s="1">
        <f t="shared" si="62"/>
        <v>0</v>
      </c>
      <c r="AC248" s="1">
        <f t="shared" si="63"/>
        <v>0</v>
      </c>
      <c r="AF248" s="1">
        <f t="shared" si="64"/>
        <v>1.1502924932382155</v>
      </c>
      <c r="AI248" s="1">
        <f t="shared" si="65"/>
        <v>1.09475467267399E-288</v>
      </c>
      <c r="AK248" s="1">
        <f t="shared" si="66"/>
        <v>1.09475467267399E-286</v>
      </c>
      <c r="AM248" s="1">
        <f t="shared" si="67"/>
        <v>3.2744406959341683E-286</v>
      </c>
      <c r="AO248" s="1">
        <f t="shared" si="68"/>
        <v>3.2744406959341683E-286</v>
      </c>
      <c r="AQ248" s="1">
        <f t="shared" si="69"/>
        <v>3.2744406959341684E-289</v>
      </c>
    </row>
    <row r="249" spans="2:43" x14ac:dyDescent="0.25">
      <c r="B249" s="1">
        <f t="shared" si="70"/>
        <v>2720</v>
      </c>
      <c r="D249" s="1">
        <f t="shared" si="54"/>
        <v>0.99747374636306974</v>
      </c>
      <c r="F249" s="1">
        <f t="shared" si="55"/>
        <v>25.964851238723941</v>
      </c>
      <c r="I249" s="1">
        <f t="shared" si="56"/>
        <v>3.5227911457339618E-295</v>
      </c>
      <c r="L249" s="1">
        <f t="shared" si="57"/>
        <v>41.105542377028129</v>
      </c>
      <c r="N249" s="1">
        <f t="shared" si="58"/>
        <v>0</v>
      </c>
      <c r="Q249" s="1">
        <f t="shared" si="59"/>
        <v>0</v>
      </c>
      <c r="S249" s="1">
        <f t="shared" si="60"/>
        <v>0</v>
      </c>
      <c r="V249" s="1">
        <f t="shared" si="61"/>
        <v>1.0406112877297279E+98</v>
      </c>
      <c r="Z249" s="1">
        <f t="shared" si="62"/>
        <v>0</v>
      </c>
      <c r="AC249" s="1">
        <f t="shared" si="63"/>
        <v>0</v>
      </c>
      <c r="AF249" s="1">
        <f t="shared" si="64"/>
        <v>1.1650117326833931</v>
      </c>
      <c r="AI249" s="1">
        <f t="shared" si="65"/>
        <v>1.7569458408949528E-295</v>
      </c>
      <c r="AK249" s="1">
        <f t="shared" si="66"/>
        <v>1.7569458408949528E-293</v>
      </c>
      <c r="AM249" s="1">
        <f t="shared" si="67"/>
        <v>5.2550723057675569E-293</v>
      </c>
      <c r="AO249" s="1">
        <f t="shared" si="68"/>
        <v>5.2550723057675569E-293</v>
      </c>
      <c r="AQ249" s="1">
        <f t="shared" si="69"/>
        <v>5.2550723057675568E-296</v>
      </c>
    </row>
    <row r="250" spans="2:43" x14ac:dyDescent="0.25">
      <c r="B250" s="1">
        <f t="shared" si="70"/>
        <v>2740</v>
      </c>
      <c r="D250" s="1">
        <f t="shared" si="54"/>
        <v>0.99747374636306974</v>
      </c>
      <c r="F250" s="1">
        <f t="shared" si="55"/>
        <v>26.267665061490025</v>
      </c>
      <c r="I250" s="1">
        <f t="shared" si="56"/>
        <v>4.706964881106957E-302</v>
      </c>
      <c r="L250" s="1">
        <f t="shared" si="57"/>
        <v>41.408356199794213</v>
      </c>
      <c r="N250" s="1">
        <f t="shared" si="58"/>
        <v>0</v>
      </c>
      <c r="Q250" s="1">
        <f t="shared" si="59"/>
        <v>0</v>
      </c>
      <c r="S250" s="1">
        <f t="shared" si="60"/>
        <v>0</v>
      </c>
      <c r="V250" s="1">
        <f t="shared" si="61"/>
        <v>1.0406112877297279E+98</v>
      </c>
      <c r="Z250" s="1">
        <f t="shared" si="62"/>
        <v>0</v>
      </c>
      <c r="AC250" s="1">
        <f t="shared" si="63"/>
        <v>0</v>
      </c>
      <c r="AF250" s="1">
        <f t="shared" si="64"/>
        <v>1.181172534545804</v>
      </c>
      <c r="AI250" s="1">
        <f t="shared" si="65"/>
        <v>2.3475369469785786E-302</v>
      </c>
      <c r="AK250" s="1">
        <f t="shared" si="66"/>
        <v>2.3475369469785784E-300</v>
      </c>
      <c r="AM250" s="1">
        <f t="shared" si="67"/>
        <v>7.0215462023287513E-300</v>
      </c>
      <c r="AO250" s="1">
        <f t="shared" si="68"/>
        <v>7.0215462023287513E-300</v>
      </c>
      <c r="AQ250" s="1">
        <f t="shared" si="69"/>
        <v>7.0215462023287516E-303</v>
      </c>
    </row>
    <row r="251" spans="2:43" x14ac:dyDescent="0.25">
      <c r="B251" s="1">
        <f t="shared" si="70"/>
        <v>2760</v>
      </c>
      <c r="D251" s="1">
        <f t="shared" si="54"/>
        <v>0.99747374636306974</v>
      </c>
      <c r="F251" s="1">
        <f t="shared" si="55"/>
        <v>26.570478884256111</v>
      </c>
      <c r="I251" s="1">
        <f t="shared" si="56"/>
        <v>0</v>
      </c>
      <c r="L251" s="1">
        <f t="shared" si="57"/>
        <v>41.711170022560296</v>
      </c>
      <c r="N251" s="1">
        <f t="shared" si="58"/>
        <v>0</v>
      </c>
      <c r="Q251" s="1">
        <f t="shared" si="59"/>
        <v>0</v>
      </c>
      <c r="S251" s="1">
        <f t="shared" si="60"/>
        <v>0</v>
      </c>
      <c r="V251" s="1">
        <f t="shared" si="61"/>
        <v>1.0406112877297279E+98</v>
      </c>
      <c r="Z251" s="1">
        <f t="shared" si="62"/>
        <v>0</v>
      </c>
      <c r="AC251" s="1">
        <f t="shared" si="63"/>
        <v>0</v>
      </c>
      <c r="AF251" s="1">
        <f t="shared" si="64"/>
        <v>1.1989160815414788</v>
      </c>
      <c r="AI251" s="1">
        <f t="shared" si="65"/>
        <v>0</v>
      </c>
      <c r="AK251" s="1">
        <f t="shared" si="66"/>
        <v>0</v>
      </c>
      <c r="AM251" s="1">
        <f t="shared" si="67"/>
        <v>0</v>
      </c>
      <c r="AO251" s="1">
        <f t="shared" si="68"/>
        <v>0</v>
      </c>
      <c r="AQ251" s="1">
        <f t="shared" si="69"/>
        <v>0</v>
      </c>
    </row>
    <row r="252" spans="2:43" x14ac:dyDescent="0.25">
      <c r="B252" s="1">
        <f t="shared" si="70"/>
        <v>2780</v>
      </c>
      <c r="D252" s="1">
        <f t="shared" si="54"/>
        <v>0.99747374636306974</v>
      </c>
      <c r="F252" s="1">
        <f t="shared" si="55"/>
        <v>26.873292707022195</v>
      </c>
      <c r="I252" s="1">
        <f t="shared" si="56"/>
        <v>0</v>
      </c>
      <c r="L252" s="1">
        <f t="shared" si="57"/>
        <v>42.013983845326379</v>
      </c>
      <c r="N252" s="1">
        <f t="shared" si="58"/>
        <v>0</v>
      </c>
      <c r="Q252" s="1">
        <f t="shared" si="59"/>
        <v>0</v>
      </c>
      <c r="S252" s="1">
        <f t="shared" si="60"/>
        <v>0</v>
      </c>
      <c r="V252" s="1">
        <f t="shared" si="61"/>
        <v>1.0406112877297279E+98</v>
      </c>
      <c r="Z252" s="1">
        <f t="shared" si="62"/>
        <v>0</v>
      </c>
      <c r="AC252" s="1">
        <f t="shared" si="63"/>
        <v>0</v>
      </c>
      <c r="AF252" s="1">
        <f t="shared" si="64"/>
        <v>1.2183973834390045</v>
      </c>
      <c r="AI252" s="1">
        <f t="shared" si="65"/>
        <v>0</v>
      </c>
      <c r="AK252" s="1">
        <f t="shared" si="66"/>
        <v>0</v>
      </c>
      <c r="AM252" s="1">
        <f t="shared" si="67"/>
        <v>0</v>
      </c>
      <c r="AO252" s="1">
        <f t="shared" si="68"/>
        <v>0</v>
      </c>
      <c r="AQ252" s="1">
        <f t="shared" si="69"/>
        <v>0</v>
      </c>
    </row>
    <row r="253" spans="2:43" x14ac:dyDescent="0.25">
      <c r="B253" s="1">
        <f t="shared" si="70"/>
        <v>2800</v>
      </c>
      <c r="D253" s="1">
        <f t="shared" si="54"/>
        <v>0.99747374636306974</v>
      </c>
      <c r="F253" s="1">
        <f t="shared" si="55"/>
        <v>27.176106529788278</v>
      </c>
      <c r="I253" s="1">
        <f t="shared" si="56"/>
        <v>0</v>
      </c>
      <c r="L253" s="1">
        <f t="shared" si="57"/>
        <v>42.316797668092462</v>
      </c>
      <c r="N253" s="1">
        <f t="shared" si="58"/>
        <v>0</v>
      </c>
      <c r="Q253" s="1">
        <f t="shared" si="59"/>
        <v>0</v>
      </c>
      <c r="S253" s="1">
        <f t="shared" si="60"/>
        <v>0</v>
      </c>
      <c r="V253" s="1">
        <f t="shared" si="61"/>
        <v>1.0406112877297279E+98</v>
      </c>
      <c r="Z253" s="1">
        <f t="shared" si="62"/>
        <v>0</v>
      </c>
      <c r="AC253" s="1">
        <f t="shared" si="63"/>
        <v>0</v>
      </c>
      <c r="AF253" s="1">
        <f t="shared" si="64"/>
        <v>1.2397866312435752</v>
      </c>
      <c r="AI253" s="1">
        <f t="shared" si="65"/>
        <v>0</v>
      </c>
      <c r="AK253" s="1">
        <f t="shared" si="66"/>
        <v>0</v>
      </c>
      <c r="AM253" s="1">
        <f t="shared" si="67"/>
        <v>0</v>
      </c>
      <c r="AO253" s="1">
        <f t="shared" si="68"/>
        <v>0</v>
      </c>
      <c r="AQ253" s="1">
        <f t="shared" si="69"/>
        <v>0</v>
      </c>
    </row>
    <row r="254" spans="2:43" x14ac:dyDescent="0.25">
      <c r="B254" s="1">
        <f t="shared" si="70"/>
        <v>2820</v>
      </c>
      <c r="D254" s="1">
        <f t="shared" si="54"/>
        <v>0.99747374636306974</v>
      </c>
      <c r="F254" s="1">
        <f t="shared" si="55"/>
        <v>27.478920352554361</v>
      </c>
      <c r="I254" s="1">
        <f t="shared" si="56"/>
        <v>0</v>
      </c>
      <c r="L254" s="1">
        <f t="shared" si="57"/>
        <v>42.619611490858546</v>
      </c>
      <c r="N254" s="1">
        <f t="shared" si="58"/>
        <v>0</v>
      </c>
      <c r="Q254" s="1">
        <f t="shared" si="59"/>
        <v>0</v>
      </c>
      <c r="S254" s="1">
        <f t="shared" si="60"/>
        <v>0</v>
      </c>
      <c r="V254" s="1">
        <f t="shared" si="61"/>
        <v>1.0406112877297279E+98</v>
      </c>
      <c r="Z254" s="1">
        <f t="shared" si="62"/>
        <v>0</v>
      </c>
      <c r="AC254" s="1">
        <f t="shared" si="63"/>
        <v>0</v>
      </c>
      <c r="AF254" s="1">
        <f t="shared" si="64"/>
        <v>1.2632706840061603</v>
      </c>
      <c r="AI254" s="1">
        <f t="shared" si="65"/>
        <v>0</v>
      </c>
      <c r="AK254" s="1">
        <f t="shared" si="66"/>
        <v>0</v>
      </c>
      <c r="AM254" s="1">
        <f t="shared" si="67"/>
        <v>0</v>
      </c>
      <c r="AO254" s="1">
        <f t="shared" si="68"/>
        <v>0</v>
      </c>
      <c r="AQ254" s="1">
        <f t="shared" si="69"/>
        <v>0</v>
      </c>
    </row>
    <row r="255" spans="2:43" x14ac:dyDescent="0.25">
      <c r="B255" s="1">
        <f t="shared" si="70"/>
        <v>2840</v>
      </c>
      <c r="D255" s="1">
        <f t="shared" si="54"/>
        <v>0.99747374636306974</v>
      </c>
      <c r="F255" s="1">
        <f t="shared" si="55"/>
        <v>27.781734175320445</v>
      </c>
      <c r="I255" s="1">
        <f t="shared" si="56"/>
        <v>0</v>
      </c>
      <c r="L255" s="1">
        <f t="shared" si="57"/>
        <v>42.922425313624629</v>
      </c>
      <c r="N255" s="1">
        <f t="shared" si="58"/>
        <v>0</v>
      </c>
      <c r="Q255" s="1">
        <f t="shared" si="59"/>
        <v>0</v>
      </c>
      <c r="S255" s="1">
        <f t="shared" si="60"/>
        <v>0</v>
      </c>
      <c r="V255" s="1">
        <f t="shared" si="61"/>
        <v>1.0406112877297279E+98</v>
      </c>
      <c r="Z255" s="1">
        <f t="shared" si="62"/>
        <v>0</v>
      </c>
      <c r="AC255" s="1">
        <f t="shared" si="63"/>
        <v>0</v>
      </c>
      <c r="AF255" s="1">
        <f t="shared" si="64"/>
        <v>1.2890547012467302</v>
      </c>
      <c r="AI255" s="1">
        <f t="shared" si="65"/>
        <v>0</v>
      </c>
      <c r="AK255" s="1">
        <f t="shared" si="66"/>
        <v>0</v>
      </c>
      <c r="AM255" s="1">
        <f t="shared" si="67"/>
        <v>0</v>
      </c>
      <c r="AO255" s="1">
        <f t="shared" si="68"/>
        <v>0</v>
      </c>
      <c r="AQ255" s="1">
        <f t="shared" si="69"/>
        <v>0</v>
      </c>
    </row>
    <row r="256" spans="2:43" x14ac:dyDescent="0.25">
      <c r="B256" s="1">
        <f t="shared" si="70"/>
        <v>2860</v>
      </c>
      <c r="D256" s="1">
        <f t="shared" si="54"/>
        <v>0.99747374636306974</v>
      </c>
      <c r="F256" s="1">
        <f t="shared" si="55"/>
        <v>28.084547998086528</v>
      </c>
      <c r="I256" s="1">
        <f t="shared" si="56"/>
        <v>0</v>
      </c>
      <c r="L256" s="1">
        <f t="shared" si="57"/>
        <v>43.225239136390712</v>
      </c>
      <c r="N256" s="1">
        <f t="shared" si="58"/>
        <v>0</v>
      </c>
      <c r="Q256" s="1">
        <f t="shared" si="59"/>
        <v>0</v>
      </c>
      <c r="S256" s="1">
        <f t="shared" si="60"/>
        <v>0</v>
      </c>
      <c r="V256" s="1">
        <f t="shared" si="61"/>
        <v>1.0406112877297279E+98</v>
      </c>
      <c r="Z256" s="1">
        <f t="shared" si="62"/>
        <v>0</v>
      </c>
      <c r="AC256" s="1">
        <f t="shared" si="63"/>
        <v>0</v>
      </c>
      <c r="AF256" s="1">
        <f t="shared" si="64"/>
        <v>1.3173639352525912</v>
      </c>
      <c r="AI256" s="1">
        <f t="shared" si="65"/>
        <v>0</v>
      </c>
      <c r="AK256" s="1">
        <f t="shared" si="66"/>
        <v>0</v>
      </c>
      <c r="AM256" s="1">
        <f t="shared" si="67"/>
        <v>0</v>
      </c>
      <c r="AO256" s="1">
        <f t="shared" si="68"/>
        <v>0</v>
      </c>
      <c r="AQ256" s="1">
        <f t="shared" si="69"/>
        <v>0</v>
      </c>
    </row>
    <row r="257" spans="2:43" x14ac:dyDescent="0.25">
      <c r="B257" s="1">
        <f t="shared" si="70"/>
        <v>2880</v>
      </c>
      <c r="D257" s="1">
        <f t="shared" si="54"/>
        <v>0.99747374636306974</v>
      </c>
      <c r="F257" s="1">
        <f t="shared" si="55"/>
        <v>28.387361820852611</v>
      </c>
      <c r="I257" s="1">
        <f t="shared" si="56"/>
        <v>0</v>
      </c>
      <c r="L257" s="1">
        <f t="shared" si="57"/>
        <v>43.528052959156796</v>
      </c>
      <c r="N257" s="1">
        <f t="shared" si="58"/>
        <v>0</v>
      </c>
      <c r="Q257" s="1">
        <f t="shared" si="59"/>
        <v>0</v>
      </c>
      <c r="S257" s="1">
        <f t="shared" si="60"/>
        <v>0</v>
      </c>
      <c r="V257" s="1">
        <f t="shared" si="61"/>
        <v>1.0406112877297279E+98</v>
      </c>
      <c r="Z257" s="1">
        <f t="shared" si="62"/>
        <v>0</v>
      </c>
      <c r="AC257" s="1">
        <f t="shared" si="63"/>
        <v>0</v>
      </c>
      <c r="AF257" s="1">
        <f t="shared" si="64"/>
        <v>1.3484456989095599</v>
      </c>
      <c r="AI257" s="1">
        <f t="shared" si="65"/>
        <v>0</v>
      </c>
      <c r="AK257" s="1">
        <f t="shared" si="66"/>
        <v>0</v>
      </c>
      <c r="AM257" s="1">
        <f t="shared" si="67"/>
        <v>0</v>
      </c>
      <c r="AO257" s="1">
        <f t="shared" si="68"/>
        <v>0</v>
      </c>
      <c r="AQ257" s="1">
        <f t="shared" si="69"/>
        <v>0</v>
      </c>
    </row>
    <row r="258" spans="2:43" x14ac:dyDescent="0.25">
      <c r="B258" s="1">
        <f t="shared" si="70"/>
        <v>2900</v>
      </c>
      <c r="D258" s="1">
        <f t="shared" si="54"/>
        <v>0.99747374636306974</v>
      </c>
      <c r="F258" s="1">
        <f t="shared" si="55"/>
        <v>28.690175643618694</v>
      </c>
      <c r="I258" s="1">
        <f t="shared" si="56"/>
        <v>0</v>
      </c>
      <c r="L258" s="1">
        <f t="shared" si="57"/>
        <v>43.830866781922879</v>
      </c>
      <c r="N258" s="1">
        <f t="shared" si="58"/>
        <v>0</v>
      </c>
      <c r="Q258" s="1">
        <f t="shared" si="59"/>
        <v>0</v>
      </c>
      <c r="S258" s="1">
        <f t="shared" si="60"/>
        <v>0</v>
      </c>
      <c r="V258" s="1">
        <f t="shared" si="61"/>
        <v>1.0406112877297279E+98</v>
      </c>
      <c r="Z258" s="1">
        <f t="shared" si="62"/>
        <v>0</v>
      </c>
      <c r="AC258" s="1">
        <f t="shared" si="63"/>
        <v>0</v>
      </c>
      <c r="AF258" s="1">
        <f t="shared" si="64"/>
        <v>1.3825715262571898</v>
      </c>
      <c r="AI258" s="1">
        <f t="shared" si="65"/>
        <v>0</v>
      </c>
      <c r="AK258" s="1">
        <f t="shared" si="66"/>
        <v>0</v>
      </c>
      <c r="AM258" s="1">
        <f t="shared" si="67"/>
        <v>0</v>
      </c>
      <c r="AO258" s="1">
        <f t="shared" si="68"/>
        <v>0</v>
      </c>
      <c r="AQ258" s="1">
        <f t="shared" si="69"/>
        <v>0</v>
      </c>
    </row>
    <row r="259" spans="2:43" x14ac:dyDescent="0.25">
      <c r="B259" s="1">
        <f t="shared" si="70"/>
        <v>2920</v>
      </c>
      <c r="D259" s="1">
        <f t="shared" si="54"/>
        <v>0.99747374636306974</v>
      </c>
      <c r="F259" s="1">
        <f t="shared" si="55"/>
        <v>28.992989466384781</v>
      </c>
      <c r="I259" s="1">
        <f t="shared" si="56"/>
        <v>0</v>
      </c>
      <c r="L259" s="1">
        <f t="shared" si="57"/>
        <v>44.133680604688962</v>
      </c>
      <c r="N259" s="1">
        <f t="shared" si="58"/>
        <v>0</v>
      </c>
      <c r="Q259" s="1">
        <f t="shared" si="59"/>
        <v>0</v>
      </c>
      <c r="S259" s="1">
        <f t="shared" si="60"/>
        <v>0</v>
      </c>
      <c r="V259" s="1">
        <f t="shared" si="61"/>
        <v>1.0406112877297279E+98</v>
      </c>
      <c r="Z259" s="1">
        <f t="shared" si="62"/>
        <v>0</v>
      </c>
      <c r="AC259" s="1">
        <f t="shared" si="63"/>
        <v>0</v>
      </c>
      <c r="AF259" s="1">
        <f t="shared" si="64"/>
        <v>1.4200395446429199</v>
      </c>
      <c r="AI259" s="1">
        <f t="shared" si="65"/>
        <v>0</v>
      </c>
      <c r="AK259" s="1">
        <f t="shared" si="66"/>
        <v>0</v>
      </c>
      <c r="AM259" s="1">
        <f t="shared" si="67"/>
        <v>0</v>
      </c>
      <c r="AO259" s="1">
        <f t="shared" si="68"/>
        <v>0</v>
      </c>
      <c r="AQ259" s="1">
        <f t="shared" si="69"/>
        <v>0</v>
      </c>
    </row>
    <row r="260" spans="2:43" x14ac:dyDescent="0.25">
      <c r="B260" s="1">
        <f t="shared" si="70"/>
        <v>2940</v>
      </c>
      <c r="D260" s="1">
        <f t="shared" si="54"/>
        <v>0.99747374636306974</v>
      </c>
      <c r="F260" s="1">
        <f t="shared" si="55"/>
        <v>29.295803289150864</v>
      </c>
      <c r="I260" s="1">
        <f t="shared" si="56"/>
        <v>0</v>
      </c>
      <c r="L260" s="1">
        <f t="shared" si="57"/>
        <v>44.436494427455052</v>
      </c>
      <c r="N260" s="1">
        <f t="shared" si="58"/>
        <v>0</v>
      </c>
      <c r="Q260" s="1">
        <f t="shared" si="59"/>
        <v>0</v>
      </c>
      <c r="S260" s="1">
        <f t="shared" si="60"/>
        <v>0</v>
      </c>
      <c r="V260" s="1">
        <f t="shared" si="61"/>
        <v>1.0406112877297279E+98</v>
      </c>
      <c r="Z260" s="1">
        <f t="shared" si="62"/>
        <v>0</v>
      </c>
      <c r="AC260" s="1">
        <f t="shared" si="63"/>
        <v>0</v>
      </c>
      <c r="AF260" s="1">
        <f t="shared" si="64"/>
        <v>1.4611770791985743</v>
      </c>
      <c r="AI260" s="1">
        <f t="shared" si="65"/>
        <v>0</v>
      </c>
      <c r="AK260" s="1">
        <f t="shared" si="66"/>
        <v>0</v>
      </c>
      <c r="AM260" s="1">
        <f t="shared" si="67"/>
        <v>0</v>
      </c>
      <c r="AO260" s="1">
        <f t="shared" si="68"/>
        <v>0</v>
      </c>
      <c r="AQ260" s="1">
        <f t="shared" si="69"/>
        <v>0</v>
      </c>
    </row>
    <row r="261" spans="2:43" x14ac:dyDescent="0.25">
      <c r="B261" s="1">
        <f t="shared" si="70"/>
        <v>2960</v>
      </c>
      <c r="D261" s="1">
        <f t="shared" si="54"/>
        <v>0.99747374636306974</v>
      </c>
      <c r="F261" s="1">
        <f t="shared" si="55"/>
        <v>29.598617111916948</v>
      </c>
      <c r="I261" s="1">
        <f t="shared" si="56"/>
        <v>0</v>
      </c>
      <c r="L261" s="1">
        <f t="shared" si="57"/>
        <v>44.739308250221136</v>
      </c>
      <c r="N261" s="1">
        <f t="shared" si="58"/>
        <v>0</v>
      </c>
      <c r="Q261" s="1">
        <f t="shared" si="59"/>
        <v>0</v>
      </c>
      <c r="S261" s="1">
        <f t="shared" si="60"/>
        <v>0</v>
      </c>
      <c r="V261" s="1">
        <f t="shared" si="61"/>
        <v>1.0406112877297279E+98</v>
      </c>
      <c r="Z261" s="1">
        <f t="shared" si="62"/>
        <v>0</v>
      </c>
      <c r="AC261" s="1">
        <f t="shared" si="63"/>
        <v>0</v>
      </c>
      <c r="AF261" s="1">
        <f t="shared" si="64"/>
        <v>1.506343512392228</v>
      </c>
      <c r="AI261" s="1">
        <f t="shared" si="65"/>
        <v>0</v>
      </c>
      <c r="AK261" s="1">
        <f t="shared" si="66"/>
        <v>0</v>
      </c>
      <c r="AM261" s="1">
        <f t="shared" si="67"/>
        <v>0</v>
      </c>
      <c r="AO261" s="1">
        <f t="shared" si="68"/>
        <v>0</v>
      </c>
      <c r="AQ261" s="1">
        <f t="shared" si="69"/>
        <v>0</v>
      </c>
    </row>
    <row r="262" spans="2:43" x14ac:dyDescent="0.25">
      <c r="B262" s="1">
        <f t="shared" si="70"/>
        <v>2980</v>
      </c>
      <c r="D262" s="1">
        <f t="shared" si="54"/>
        <v>0.99747374636306974</v>
      </c>
      <c r="F262" s="1">
        <f t="shared" si="55"/>
        <v>29.901430934683031</v>
      </c>
      <c r="I262" s="1">
        <f t="shared" si="56"/>
        <v>0</v>
      </c>
      <c r="L262" s="1">
        <f t="shared" si="57"/>
        <v>45.042122072987219</v>
      </c>
      <c r="N262" s="1">
        <f t="shared" si="58"/>
        <v>0</v>
      </c>
      <c r="Q262" s="1">
        <f t="shared" si="59"/>
        <v>0</v>
      </c>
      <c r="S262" s="1">
        <f t="shared" si="60"/>
        <v>0</v>
      </c>
      <c r="V262" s="1">
        <f t="shared" si="61"/>
        <v>1.0406112877297279E+98</v>
      </c>
      <c r="Z262" s="1">
        <f t="shared" si="62"/>
        <v>0</v>
      </c>
      <c r="AC262" s="1">
        <f t="shared" si="63"/>
        <v>0</v>
      </c>
      <c r="AF262" s="1">
        <f t="shared" si="64"/>
        <v>1.5559334236368327</v>
      </c>
      <c r="AI262" s="1">
        <f t="shared" si="65"/>
        <v>0</v>
      </c>
      <c r="AK262" s="1">
        <f t="shared" si="66"/>
        <v>0</v>
      </c>
      <c r="AM262" s="1">
        <f t="shared" si="67"/>
        <v>0</v>
      </c>
      <c r="AO262" s="1">
        <f t="shared" si="68"/>
        <v>0</v>
      </c>
      <c r="AQ262" s="1">
        <f t="shared" si="69"/>
        <v>0</v>
      </c>
    </row>
    <row r="263" spans="2:43" x14ac:dyDescent="0.25">
      <c r="B263" s="1">
        <f t="shared" si="70"/>
        <v>3000</v>
      </c>
      <c r="D263" s="1">
        <f t="shared" si="54"/>
        <v>0.99747374636306974</v>
      </c>
      <c r="F263" s="1">
        <f t="shared" si="55"/>
        <v>30.204244757449114</v>
      </c>
      <c r="I263" s="1">
        <f t="shared" si="56"/>
        <v>0</v>
      </c>
      <c r="L263" s="1">
        <f t="shared" si="57"/>
        <v>45.344935895753302</v>
      </c>
      <c r="N263" s="1">
        <f t="shared" si="58"/>
        <v>0</v>
      </c>
      <c r="Q263" s="1">
        <f t="shared" si="59"/>
        <v>0</v>
      </c>
      <c r="S263" s="1">
        <f t="shared" si="60"/>
        <v>0</v>
      </c>
      <c r="V263" s="1">
        <f t="shared" si="61"/>
        <v>1.0406112877297279E+98</v>
      </c>
      <c r="Z263" s="1">
        <f t="shared" si="62"/>
        <v>0</v>
      </c>
      <c r="AC263" s="1">
        <f t="shared" si="63"/>
        <v>0</v>
      </c>
      <c r="AF263" s="1">
        <f t="shared" si="64"/>
        <v>1.6103800363836047</v>
      </c>
      <c r="AI263" s="1">
        <f t="shared" si="65"/>
        <v>0</v>
      </c>
      <c r="AK263" s="1">
        <f t="shared" si="66"/>
        <v>0</v>
      </c>
      <c r="AM263" s="1">
        <f t="shared" si="67"/>
        <v>0</v>
      </c>
      <c r="AO263" s="1">
        <f t="shared" si="68"/>
        <v>0</v>
      </c>
      <c r="AQ263" s="1">
        <f t="shared" si="69"/>
        <v>0</v>
      </c>
    </row>
  </sheetData>
  <phoneticPr fontId="15" type="noConversion"/>
  <pageMargins left="0.75" right="0.75" top="1" bottom="1" header="0.5" footer="0.5"/>
  <pageSetup paperSize="119" scale="48"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AP90"/>
  <sheetViews>
    <sheetView view="pageBreakPreview" zoomScale="25" zoomScaleNormal="85" zoomScaleSheetLayoutView="25" workbookViewId="0">
      <selection activeCell="BH84" sqref="BH84:BU115"/>
    </sheetView>
  </sheetViews>
  <sheetFormatPr defaultRowHeight="13.2" x14ac:dyDescent="0.25"/>
  <cols>
    <col min="2" max="3" width="0.77734375" customWidth="1"/>
  </cols>
  <sheetData>
    <row r="1" spans="1:6" x14ac:dyDescent="0.25">
      <c r="A1" s="16">
        <v>39505</v>
      </c>
    </row>
    <row r="3" spans="1:6" x14ac:dyDescent="0.25">
      <c r="E3" s="11" t="s">
        <v>160</v>
      </c>
    </row>
    <row r="6" spans="1:6" x14ac:dyDescent="0.25">
      <c r="F6" s="17" t="str">
        <f>IF('Alt-GPL Calc for VOCs'!$I$13&gt;IntercalsJury1!$M$30*1000,"Warning: Input soil concentration exceeds maximum allowed"," ")</f>
        <v xml:space="preserve"> </v>
      </c>
    </row>
    <row r="27" spans="6:12" x14ac:dyDescent="0.25">
      <c r="F27" s="17" t="str">
        <f>IF('Alt-GPL Calc for VOCs'!$I$13&gt;IntercalsJury1!$M$30*1000,"Warning: Input soil concentration exceeds maximum allowed"," ")</f>
        <v xml:space="preserve"> </v>
      </c>
      <c r="L27" s="17"/>
    </row>
    <row r="47" spans="6:6" x14ac:dyDescent="0.25">
      <c r="F47" s="17" t="str">
        <f>IF('Alt-GPL Calc for VOCs'!$I$13&gt;IntercalsJury1!$M$30*1000,"Warning: Input soil concentration exceeds maximum allowed"," ")</f>
        <v xml:space="preserve"> </v>
      </c>
    </row>
    <row r="55" spans="42:42" x14ac:dyDescent="0.25">
      <c r="AP55" s="13"/>
    </row>
    <row r="68" spans="6:6" x14ac:dyDescent="0.25">
      <c r="F68" s="17" t="str">
        <f>IF('Alt-GPL Calc for VOCs'!$I$13&gt;IntercalsJury1!$M$30*1000,"Warning: Input soil concentration exceeds maximum allowed"," ")</f>
        <v xml:space="preserve"> </v>
      </c>
    </row>
    <row r="90" spans="6:6" x14ac:dyDescent="0.25">
      <c r="F90" s="17" t="str">
        <f>IF('Alt-GPL Calc for VOCs'!$I$13&gt;IntercalsJury1!$M$30*1000,"Warning: Input soil concentration exceeds maximum allowed"," ")</f>
        <v xml:space="preserve"> </v>
      </c>
    </row>
  </sheetData>
  <phoneticPr fontId="15" type="noConversion"/>
  <pageMargins left="0.75" right="0.75" top="1" bottom="1" header="0.5" footer="0.5"/>
  <pageSetup orientation="landscape" horizontalDpi="1200" verticalDpi="1200" r:id="rId1"/>
  <headerFooter alignWithMargins="0"/>
  <rowBreaks count="4" manualBreakCount="4">
    <brk id="26" max="16383" man="1"/>
    <brk id="48" max="10" man="1"/>
    <brk id="70" max="10" man="1"/>
    <brk id="92" max="10"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H39"/>
  <sheetViews>
    <sheetView view="pageBreakPreview" zoomScale="85" zoomScaleNormal="100" zoomScaleSheetLayoutView="85" workbookViewId="0">
      <selection activeCell="C11" sqref="C11:E27"/>
    </sheetView>
  </sheetViews>
  <sheetFormatPr defaultColWidth="9.21875" defaultRowHeight="13.2" x14ac:dyDescent="0.25"/>
  <cols>
    <col min="1" max="1" width="9.21875" style="1"/>
    <col min="2" max="2" width="29.44140625" style="1" customWidth="1"/>
    <col min="3" max="4" width="23.44140625" style="1" customWidth="1"/>
    <col min="5" max="5" width="22.44140625" style="1" customWidth="1"/>
    <col min="6" max="16384" width="9.21875" style="1"/>
  </cols>
  <sheetData>
    <row r="1" spans="1:5" x14ac:dyDescent="0.25">
      <c r="A1" s="235">
        <v>39753</v>
      </c>
      <c r="B1" s="340"/>
      <c r="C1" s="340"/>
      <c r="D1" s="340"/>
      <c r="E1" s="340"/>
    </row>
    <row r="2" spans="1:5" x14ac:dyDescent="0.25">
      <c r="A2" s="340"/>
      <c r="B2" s="340"/>
      <c r="C2" s="340"/>
      <c r="D2" s="340"/>
      <c r="E2" s="340"/>
    </row>
    <row r="3" spans="1:5" x14ac:dyDescent="0.25">
      <c r="A3" s="340"/>
      <c r="B3" s="340"/>
      <c r="C3" s="340"/>
      <c r="D3" s="340"/>
      <c r="E3" s="340"/>
    </row>
    <row r="4" spans="1:5" ht="17.399999999999999" x14ac:dyDescent="0.3">
      <c r="A4" s="340"/>
      <c r="B4" s="403" t="s">
        <v>255</v>
      </c>
      <c r="C4" s="403"/>
      <c r="D4" s="403"/>
      <c r="E4" s="340"/>
    </row>
    <row r="5" spans="1:5" ht="17.399999999999999" x14ac:dyDescent="0.3">
      <c r="A5" s="340"/>
      <c r="B5" s="346"/>
      <c r="C5" s="340"/>
      <c r="D5" s="340"/>
      <c r="E5" s="340"/>
    </row>
    <row r="6" spans="1:5" x14ac:dyDescent="0.25">
      <c r="A6" s="340"/>
      <c r="B6" s="340"/>
      <c r="C6" s="340"/>
      <c r="D6" s="340"/>
      <c r="E6" s="340"/>
    </row>
    <row r="7" spans="1:5" x14ac:dyDescent="0.25">
      <c r="A7" s="340"/>
      <c r="B7" s="490" t="s">
        <v>182</v>
      </c>
      <c r="C7" s="488" t="s">
        <v>220</v>
      </c>
      <c r="D7" s="84" t="s">
        <v>256</v>
      </c>
      <c r="E7" s="83" t="s">
        <v>212</v>
      </c>
    </row>
    <row r="8" spans="1:5" x14ac:dyDescent="0.25">
      <c r="A8" s="340"/>
      <c r="B8" s="491"/>
      <c r="C8" s="489" t="s">
        <v>251</v>
      </c>
      <c r="D8" s="86" t="s">
        <v>213</v>
      </c>
      <c r="E8" s="85" t="s">
        <v>213</v>
      </c>
    </row>
    <row r="9" spans="1:5" x14ac:dyDescent="0.25">
      <c r="A9" s="340"/>
      <c r="B9" s="412"/>
      <c r="C9" s="87" t="s">
        <v>252</v>
      </c>
      <c r="D9" s="88" t="s">
        <v>254</v>
      </c>
      <c r="E9" s="89" t="s">
        <v>253</v>
      </c>
    </row>
    <row r="10" spans="1:5" x14ac:dyDescent="0.25">
      <c r="A10" s="340"/>
      <c r="B10" s="413"/>
      <c r="C10" s="485" t="s">
        <v>566</v>
      </c>
      <c r="D10" s="486" t="s">
        <v>564</v>
      </c>
      <c r="E10" s="487" t="s">
        <v>564</v>
      </c>
    </row>
    <row r="11" spans="1:5" x14ac:dyDescent="0.25">
      <c r="A11" s="340"/>
      <c r="B11" s="404" t="s">
        <v>183</v>
      </c>
      <c r="C11" s="406">
        <v>0.7</v>
      </c>
      <c r="D11" s="407">
        <v>0.71</v>
      </c>
      <c r="E11" s="408">
        <v>313.38</v>
      </c>
    </row>
    <row r="12" spans="1:5" x14ac:dyDescent="0.25">
      <c r="A12" s="340"/>
      <c r="B12" s="404" t="s">
        <v>187</v>
      </c>
      <c r="C12" s="406">
        <v>0.95</v>
      </c>
      <c r="D12" s="407">
        <v>1.6</v>
      </c>
      <c r="E12" s="408">
        <v>282.29333333333335</v>
      </c>
    </row>
    <row r="13" spans="1:5" x14ac:dyDescent="0.25">
      <c r="A13" s="340"/>
      <c r="B13" s="404" t="s">
        <v>188</v>
      </c>
      <c r="C13" s="409">
        <v>16.5</v>
      </c>
      <c r="D13" s="407">
        <v>22</v>
      </c>
      <c r="E13" s="408">
        <v>154.69266666666667</v>
      </c>
    </row>
    <row r="14" spans="1:5" x14ac:dyDescent="0.25">
      <c r="A14" s="340"/>
      <c r="B14" s="404" t="s">
        <v>218</v>
      </c>
      <c r="C14" s="454" t="s">
        <v>557</v>
      </c>
      <c r="D14" s="407">
        <v>72</v>
      </c>
      <c r="E14" s="408">
        <v>116.03413333333332</v>
      </c>
    </row>
    <row r="15" spans="1:5" x14ac:dyDescent="0.25">
      <c r="A15" s="340"/>
      <c r="B15" s="404" t="s">
        <v>219</v>
      </c>
      <c r="C15" s="408">
        <v>27</v>
      </c>
      <c r="D15" s="410">
        <v>9.3000000000000007</v>
      </c>
      <c r="E15" s="408">
        <v>53.773333333333326</v>
      </c>
    </row>
    <row r="16" spans="1:5" x14ac:dyDescent="0.25">
      <c r="A16" s="340"/>
      <c r="B16" s="404" t="s">
        <v>191</v>
      </c>
      <c r="C16" s="406">
        <v>0.23</v>
      </c>
      <c r="D16" s="407">
        <v>0.21</v>
      </c>
      <c r="E16" s="408">
        <v>1020.6233333333333</v>
      </c>
    </row>
    <row r="17" spans="1:8" x14ac:dyDescent="0.25">
      <c r="A17" s="340"/>
      <c r="B17" s="404" t="s">
        <v>211</v>
      </c>
      <c r="C17" s="406">
        <v>0.85</v>
      </c>
      <c r="D17" s="407">
        <v>0.81</v>
      </c>
      <c r="E17" s="408">
        <v>529.53666666666675</v>
      </c>
    </row>
    <row r="18" spans="1:8" x14ac:dyDescent="0.25">
      <c r="A18" s="340"/>
      <c r="B18" s="405" t="s">
        <v>248</v>
      </c>
      <c r="C18" s="409">
        <v>5.3</v>
      </c>
      <c r="D18" s="407">
        <v>4.9000000000000004</v>
      </c>
      <c r="E18" s="408">
        <v>513.2166666666667</v>
      </c>
    </row>
    <row r="19" spans="1:8" x14ac:dyDescent="0.25">
      <c r="A19" s="340"/>
      <c r="B19" s="405" t="s">
        <v>249</v>
      </c>
      <c r="C19" s="409">
        <v>9.1999999999999993</v>
      </c>
      <c r="D19" s="407">
        <v>8.4</v>
      </c>
      <c r="E19" s="408">
        <v>1122.45</v>
      </c>
      <c r="H19" s="32"/>
    </row>
    <row r="20" spans="1:8" x14ac:dyDescent="0.25">
      <c r="A20" s="340"/>
      <c r="B20" s="404" t="s">
        <v>192</v>
      </c>
      <c r="C20" s="406">
        <v>0.36</v>
      </c>
      <c r="D20" s="407">
        <v>0.28000000000000003</v>
      </c>
      <c r="E20" s="408">
        <v>423.82666666666671</v>
      </c>
    </row>
    <row r="21" spans="1:8" x14ac:dyDescent="0.25">
      <c r="A21" s="340"/>
      <c r="B21" s="404" t="s">
        <v>194</v>
      </c>
      <c r="C21" s="454" t="s">
        <v>560</v>
      </c>
      <c r="D21" s="407">
        <v>120</v>
      </c>
      <c r="E21" s="408">
        <v>82.370666666666665</v>
      </c>
    </row>
    <row r="22" spans="1:8" x14ac:dyDescent="0.25">
      <c r="A22" s="340"/>
      <c r="B22" s="404" t="s">
        <v>197</v>
      </c>
      <c r="C22" s="408">
        <v>45</v>
      </c>
      <c r="D22" s="407">
        <v>36</v>
      </c>
      <c r="E22" s="408">
        <v>273.89533333333333</v>
      </c>
    </row>
    <row r="23" spans="1:8" x14ac:dyDescent="0.25">
      <c r="A23" s="340"/>
      <c r="B23" s="404" t="s">
        <v>199</v>
      </c>
      <c r="C23" s="406">
        <v>0.8</v>
      </c>
      <c r="D23" s="407">
        <v>1.3</v>
      </c>
      <c r="E23" s="408">
        <v>61.053333333333335</v>
      </c>
    </row>
    <row r="24" spans="1:8" x14ac:dyDescent="0.25">
      <c r="A24" s="340"/>
      <c r="B24" s="404" t="s">
        <v>200</v>
      </c>
      <c r="C24" s="454" t="s">
        <v>558</v>
      </c>
      <c r="D24" s="407">
        <v>400</v>
      </c>
      <c r="E24" s="408">
        <v>159.07066666666668</v>
      </c>
    </row>
    <row r="25" spans="1:8" x14ac:dyDescent="0.25">
      <c r="A25" s="340"/>
      <c r="B25" s="404" t="s">
        <v>201</v>
      </c>
      <c r="C25" s="406">
        <v>0.94</v>
      </c>
      <c r="D25" s="407">
        <v>1</v>
      </c>
      <c r="E25" s="408">
        <v>334.1</v>
      </c>
    </row>
    <row r="26" spans="1:8" x14ac:dyDescent="0.25">
      <c r="A26" s="340"/>
      <c r="B26" s="404" t="s">
        <v>203</v>
      </c>
      <c r="C26" s="406">
        <v>0.76</v>
      </c>
      <c r="D26" s="407">
        <v>0.61</v>
      </c>
      <c r="E26" s="408">
        <v>323.54666666666674</v>
      </c>
    </row>
    <row r="27" spans="1:8" ht="15.6" x14ac:dyDescent="0.25">
      <c r="A27" s="340"/>
      <c r="B27" s="404" t="s">
        <v>250</v>
      </c>
      <c r="C27" s="411" t="s">
        <v>559</v>
      </c>
      <c r="D27" s="407">
        <v>2200</v>
      </c>
      <c r="E27" s="408">
        <v>81</v>
      </c>
    </row>
    <row r="28" spans="1:8" x14ac:dyDescent="0.25">
      <c r="A28" s="340"/>
      <c r="B28" s="340"/>
      <c r="C28" s="340"/>
      <c r="E28" s="340"/>
    </row>
    <row r="29" spans="1:8" x14ac:dyDescent="0.25">
      <c r="A29" s="340"/>
      <c r="B29" s="341" t="s">
        <v>568</v>
      </c>
      <c r="C29" s="340"/>
      <c r="D29" s="340"/>
      <c r="E29" s="340"/>
    </row>
    <row r="30" spans="1:8" x14ac:dyDescent="0.25">
      <c r="A30" s="340"/>
      <c r="B30" s="341" t="s">
        <v>576</v>
      </c>
      <c r="C30" s="340"/>
      <c r="D30" s="340"/>
      <c r="E30" s="340"/>
    </row>
    <row r="31" spans="1:8" x14ac:dyDescent="0.25">
      <c r="A31" s="340"/>
      <c r="B31" s="341" t="s">
        <v>565</v>
      </c>
      <c r="C31" s="340"/>
      <c r="D31" s="340"/>
      <c r="E31" s="340"/>
    </row>
    <row r="32" spans="1:8" x14ac:dyDescent="0.25">
      <c r="A32" s="340"/>
      <c r="B32" s="341" t="s">
        <v>567</v>
      </c>
      <c r="C32" s="340"/>
      <c r="D32" s="340"/>
      <c r="E32" s="340"/>
    </row>
    <row r="33" spans="1:5" x14ac:dyDescent="0.25">
      <c r="A33" s="340"/>
      <c r="B33" s="341" t="s">
        <v>570</v>
      </c>
      <c r="C33" s="340"/>
      <c r="D33" s="340"/>
      <c r="E33" s="340"/>
    </row>
    <row r="34" spans="1:5" x14ac:dyDescent="0.25">
      <c r="A34" s="340"/>
      <c r="B34" s="341" t="s">
        <v>575</v>
      </c>
      <c r="C34" s="340"/>
      <c r="D34" s="340"/>
      <c r="E34" s="340"/>
    </row>
    <row r="35" spans="1:5" x14ac:dyDescent="0.25">
      <c r="A35" s="340"/>
      <c r="B35" s="341" t="s">
        <v>572</v>
      </c>
      <c r="C35" s="340"/>
      <c r="D35" s="340"/>
      <c r="E35" s="340"/>
    </row>
    <row r="36" spans="1:5" x14ac:dyDescent="0.25">
      <c r="A36" s="340"/>
      <c r="B36" s="341" t="s">
        <v>569</v>
      </c>
      <c r="C36" s="340"/>
      <c r="D36" s="340"/>
      <c r="E36" s="340"/>
    </row>
    <row r="37" spans="1:5" x14ac:dyDescent="0.25">
      <c r="A37" s="340"/>
      <c r="B37" s="341" t="s">
        <v>574</v>
      </c>
      <c r="C37" s="340"/>
      <c r="D37" s="340"/>
      <c r="E37" s="340"/>
    </row>
    <row r="38" spans="1:5" x14ac:dyDescent="0.25">
      <c r="A38" s="340"/>
      <c r="B38" s="341" t="s">
        <v>571</v>
      </c>
      <c r="C38" s="340"/>
      <c r="D38" s="340"/>
      <c r="E38" s="340"/>
    </row>
    <row r="39" spans="1:5" x14ac:dyDescent="0.25">
      <c r="A39" s="340"/>
      <c r="B39" s="341" t="s">
        <v>573</v>
      </c>
      <c r="C39" s="340"/>
      <c r="D39" s="340"/>
      <c r="E39" s="340"/>
    </row>
  </sheetData>
  <sheetProtection password="FD77" sheet="1" objects="1" scenarios="1"/>
  <phoneticPr fontId="15" type="noConversion"/>
  <pageMargins left="0.75" right="0.75" top="1" bottom="1" header="0.5" footer="0.5"/>
  <pageSetup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16"/>
  <sheetViews>
    <sheetView view="pageBreakPreview" zoomScale="115" zoomScaleNormal="100" zoomScaleSheetLayoutView="115" workbookViewId="0">
      <selection sqref="A1:B1"/>
    </sheetView>
  </sheetViews>
  <sheetFormatPr defaultColWidth="8.5546875" defaultRowHeight="14.4" x14ac:dyDescent="0.3"/>
  <cols>
    <col min="1" max="1" width="28.21875" style="35" customWidth="1"/>
    <col min="2" max="2" width="30.21875" style="35" customWidth="1"/>
    <col min="3" max="4" width="10.5546875" style="35" customWidth="1"/>
    <col min="5" max="16384" width="8.5546875" style="35"/>
  </cols>
  <sheetData>
    <row r="1" spans="1:9" ht="53.85" customHeight="1" thickBot="1" x14ac:dyDescent="0.35">
      <c r="A1" s="494" t="s">
        <v>343</v>
      </c>
      <c r="B1" s="495"/>
      <c r="C1" s="414"/>
      <c r="D1" s="414"/>
    </row>
    <row r="2" spans="1:9" s="37" customFormat="1" x14ac:dyDescent="0.3">
      <c r="A2" s="36" t="s">
        <v>344</v>
      </c>
      <c r="B2" s="415">
        <v>35</v>
      </c>
      <c r="C2" s="328"/>
      <c r="D2" s="328"/>
    </row>
    <row r="3" spans="1:9" s="37" customFormat="1" x14ac:dyDescent="0.3">
      <c r="A3" s="38" t="s">
        <v>345</v>
      </c>
      <c r="B3" s="416">
        <v>290</v>
      </c>
      <c r="C3" s="328"/>
      <c r="D3" s="328"/>
    </row>
    <row r="4" spans="1:9" s="40" customFormat="1" x14ac:dyDescent="0.3">
      <c r="A4" s="39" t="s">
        <v>346</v>
      </c>
      <c r="B4" s="416">
        <v>12000</v>
      </c>
      <c r="C4" s="327"/>
      <c r="D4" s="327"/>
    </row>
    <row r="5" spans="1:9" s="40" customFormat="1" x14ac:dyDescent="0.3">
      <c r="A5" s="41" t="s">
        <v>347</v>
      </c>
      <c r="B5" s="416">
        <v>23</v>
      </c>
      <c r="C5" s="327"/>
      <c r="D5" s="327"/>
    </row>
    <row r="6" spans="1:9" s="40" customFormat="1" x14ac:dyDescent="0.3">
      <c r="A6" s="42" t="s">
        <v>348</v>
      </c>
      <c r="B6" s="416">
        <v>29</v>
      </c>
      <c r="C6" s="327"/>
      <c r="D6" s="327"/>
    </row>
    <row r="7" spans="1:9" s="40" customFormat="1" x14ac:dyDescent="0.3">
      <c r="A7" s="43" t="s">
        <v>349</v>
      </c>
      <c r="B7" s="416">
        <v>590</v>
      </c>
      <c r="C7" s="327"/>
      <c r="D7" s="327"/>
    </row>
    <row r="8" spans="1:9" s="40" customFormat="1" x14ac:dyDescent="0.3">
      <c r="A8" s="43" t="s">
        <v>350</v>
      </c>
      <c r="B8" s="416">
        <v>290</v>
      </c>
      <c r="C8" s="327"/>
      <c r="D8" s="327"/>
    </row>
    <row r="9" spans="1:9" s="40" customFormat="1" x14ac:dyDescent="0.3">
      <c r="A9" s="44" t="s">
        <v>351</v>
      </c>
      <c r="B9" s="416">
        <v>12</v>
      </c>
      <c r="C9" s="327"/>
      <c r="D9" s="327"/>
    </row>
    <row r="10" spans="1:9" s="40" customFormat="1" x14ac:dyDescent="0.3">
      <c r="A10" s="45" t="s">
        <v>352</v>
      </c>
      <c r="B10" s="416">
        <v>590</v>
      </c>
      <c r="C10" s="327"/>
      <c r="D10" s="327"/>
    </row>
    <row r="11" spans="1:9" s="40" customFormat="1" x14ac:dyDescent="0.3">
      <c r="A11" s="46" t="s">
        <v>353</v>
      </c>
      <c r="B11" s="417">
        <v>290</v>
      </c>
      <c r="C11" s="327"/>
      <c r="D11" s="327"/>
    </row>
    <row r="12" spans="1:9" s="40" customFormat="1" ht="15" thickBot="1" x14ac:dyDescent="0.35">
      <c r="A12" s="47" t="s">
        <v>354</v>
      </c>
      <c r="B12" s="418">
        <v>12</v>
      </c>
      <c r="C12" s="327"/>
      <c r="D12" s="327"/>
    </row>
    <row r="13" spans="1:9" s="37" customFormat="1" x14ac:dyDescent="0.3">
      <c r="A13" s="326"/>
      <c r="B13" s="326"/>
      <c r="C13" s="328"/>
      <c r="D13" s="328"/>
    </row>
    <row r="14" spans="1:9" s="48" customFormat="1" ht="14.85" customHeight="1" x14ac:dyDescent="0.3">
      <c r="A14" s="496" t="s">
        <v>355</v>
      </c>
      <c r="B14" s="496"/>
      <c r="C14" s="337"/>
      <c r="D14" s="337"/>
      <c r="E14" s="49"/>
      <c r="F14" s="49"/>
      <c r="G14" s="49"/>
      <c r="H14" s="49"/>
      <c r="I14" s="49"/>
    </row>
    <row r="15" spans="1:9" x14ac:dyDescent="0.3">
      <c r="A15" s="496"/>
      <c r="B15" s="496"/>
      <c r="C15" s="326"/>
      <c r="D15" s="326"/>
    </row>
    <row r="16" spans="1:9" x14ac:dyDescent="0.3">
      <c r="A16" s="496"/>
      <c r="B16" s="496"/>
      <c r="C16" s="326"/>
      <c r="D16" s="326"/>
    </row>
  </sheetData>
  <sheetProtection password="FD77" sheet="1" objects="1" scenarios="1"/>
  <mergeCells count="2">
    <mergeCell ref="A1:B1"/>
    <mergeCell ref="A14:B16"/>
  </mergeCells>
  <pageMargins left="0.7" right="0.7" top="0.75" bottom="0.75" header="0.3" footer="0.3"/>
  <pageSetup paperSize="3" scale="9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H119"/>
  <sheetViews>
    <sheetView view="pageBreakPreview" topLeftCell="B1" zoomScale="70" zoomScaleNormal="25" zoomScaleSheetLayoutView="70" zoomScalePageLayoutView="55" workbookViewId="0">
      <selection activeCell="K32" sqref="K32"/>
    </sheetView>
  </sheetViews>
  <sheetFormatPr defaultColWidth="9.21875" defaultRowHeight="13.2" x14ac:dyDescent="0.25"/>
  <cols>
    <col min="1" max="1" width="10.77734375" style="23" bestFit="1" customWidth="1"/>
    <col min="2" max="2" width="1.44140625" style="23" customWidth="1"/>
    <col min="3" max="3" width="2.21875" style="23" customWidth="1"/>
    <col min="4" max="4" width="12.77734375" style="23" customWidth="1"/>
    <col min="5" max="5" width="28.44140625" style="23" customWidth="1"/>
    <col min="6" max="6" width="18.77734375" style="23" customWidth="1"/>
    <col min="7" max="7" width="10.77734375" style="23" customWidth="1"/>
    <col min="8" max="8" width="12" style="23" customWidth="1"/>
    <col min="9" max="9" width="13.77734375" style="23" customWidth="1"/>
    <col min="10" max="10" width="14.44140625" style="23" customWidth="1"/>
    <col min="11" max="11" width="20.5546875" style="23" customWidth="1"/>
    <col min="12" max="12" width="10.21875" style="23" customWidth="1"/>
    <col min="13" max="13" width="3.21875" style="26" customWidth="1"/>
    <col min="14" max="14" width="4.77734375" style="23" customWidth="1"/>
    <col min="15" max="33" width="7.44140625" style="23" customWidth="1"/>
    <col min="34" max="34" width="4.77734375" style="23" customWidth="1"/>
    <col min="35" max="35" width="7.77734375" style="23" customWidth="1"/>
    <col min="36" max="36" width="10.21875" style="23" customWidth="1"/>
    <col min="37" max="37" width="5.77734375" style="23" customWidth="1"/>
    <col min="38" max="38" width="9.21875" style="23"/>
    <col min="39" max="49" width="5.5546875" style="23" customWidth="1"/>
    <col min="50" max="16384" width="9.21875" style="23"/>
  </cols>
  <sheetData>
    <row r="1" spans="1:59" ht="15" customHeight="1" x14ac:dyDescent="0.25">
      <c r="A1" s="235">
        <v>44153</v>
      </c>
      <c r="B1" s="235"/>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6"/>
      <c r="AD1" s="236"/>
      <c r="AE1" s="236"/>
      <c r="AF1" s="236"/>
      <c r="AG1" s="236"/>
      <c r="AH1" s="236"/>
      <c r="AI1" s="236"/>
      <c r="AJ1" s="236"/>
    </row>
    <row r="2" spans="1:59" ht="15" customHeight="1" x14ac:dyDescent="0.25">
      <c r="A2" s="236"/>
      <c r="B2" s="236"/>
      <c r="C2" s="236"/>
      <c r="D2" s="236"/>
      <c r="E2" s="236"/>
      <c r="F2" s="291"/>
      <c r="G2" s="236"/>
      <c r="H2" s="236"/>
      <c r="I2" s="497"/>
      <c r="J2" s="497"/>
      <c r="K2" s="497"/>
      <c r="L2" s="238"/>
      <c r="M2" s="236"/>
      <c r="N2" s="239"/>
      <c r="O2" s="240"/>
      <c r="P2" s="237"/>
      <c r="Q2" s="237"/>
      <c r="R2" s="237"/>
      <c r="S2" s="237"/>
      <c r="T2" s="237"/>
      <c r="U2" s="237"/>
      <c r="V2" s="237"/>
      <c r="W2" s="237"/>
      <c r="X2" s="237"/>
      <c r="Y2" s="237"/>
      <c r="Z2" s="237"/>
      <c r="AA2" s="236"/>
      <c r="AB2" s="237"/>
      <c r="AC2" s="236"/>
      <c r="AD2" s="236"/>
      <c r="AE2" s="236"/>
      <c r="AF2" s="236"/>
      <c r="AG2" s="236"/>
      <c r="AH2" s="236"/>
      <c r="AI2" s="236"/>
      <c r="AJ2" s="237"/>
      <c r="AK2" s="33"/>
      <c r="AL2" s="33"/>
      <c r="AM2" s="33"/>
      <c r="AN2" s="33"/>
      <c r="AO2" s="33"/>
      <c r="AP2" s="33"/>
      <c r="AQ2" s="33"/>
      <c r="AR2" s="33"/>
      <c r="AS2" s="33"/>
      <c r="AT2" s="33"/>
      <c r="AU2" s="33"/>
      <c r="AV2" s="33"/>
      <c r="AW2" s="33"/>
      <c r="AX2" s="33"/>
      <c r="AY2" s="33"/>
      <c r="AZ2" s="33"/>
      <c r="BA2" s="33"/>
      <c r="BB2" s="33"/>
      <c r="BC2" s="33"/>
      <c r="BD2" s="33"/>
      <c r="BE2" s="33"/>
      <c r="BF2" s="33"/>
      <c r="BG2" s="33"/>
    </row>
    <row r="3" spans="1:59" ht="15" customHeight="1" thickBot="1" x14ac:dyDescent="0.3">
      <c r="A3" s="236"/>
      <c r="B3" s="236"/>
      <c r="C3" s="236"/>
      <c r="D3" s="236"/>
      <c r="E3" s="236"/>
      <c r="F3" s="236"/>
      <c r="G3" s="242" t="s">
        <v>507</v>
      </c>
      <c r="H3" s="243"/>
      <c r="I3" s="237"/>
      <c r="J3" s="237"/>
      <c r="K3" s="237"/>
      <c r="L3" s="236"/>
      <c r="M3" s="236"/>
      <c r="N3" s="244"/>
      <c r="O3" s="244"/>
      <c r="P3" s="244"/>
      <c r="Q3" s="244"/>
      <c r="R3" s="244"/>
      <c r="S3" s="244"/>
      <c r="T3" s="244"/>
      <c r="U3" s="244"/>
      <c r="V3" s="244"/>
      <c r="W3" s="244"/>
      <c r="X3" s="244"/>
      <c r="Y3" s="244"/>
      <c r="Z3" s="244"/>
      <c r="AA3" s="236"/>
      <c r="AB3" s="244"/>
      <c r="AC3" s="237"/>
      <c r="AD3" s="237"/>
      <c r="AE3" s="237"/>
      <c r="AF3" s="237"/>
      <c r="AG3" s="237"/>
      <c r="AH3" s="237"/>
      <c r="AI3" s="237"/>
      <c r="AJ3" s="237"/>
      <c r="AK3" s="33"/>
      <c r="AL3" s="33"/>
      <c r="AM3" s="33"/>
      <c r="AN3" s="33"/>
      <c r="AO3" s="33"/>
      <c r="AP3" s="33"/>
      <c r="AQ3" s="33"/>
      <c r="AR3" s="33"/>
      <c r="AS3" s="33"/>
      <c r="AT3" s="33"/>
      <c r="AU3" s="33"/>
      <c r="AV3" s="33"/>
      <c r="AW3" s="33"/>
      <c r="AX3" s="33"/>
      <c r="AY3" s="33"/>
      <c r="AZ3" s="33"/>
      <c r="BA3" s="33"/>
      <c r="BB3" s="33"/>
      <c r="BC3" s="33"/>
      <c r="BD3" s="33"/>
      <c r="BE3" s="33"/>
      <c r="BF3" s="33"/>
      <c r="BG3" s="33"/>
    </row>
    <row r="4" spans="1:59" ht="15" customHeight="1" thickBot="1" x14ac:dyDescent="0.35">
      <c r="A4" s="236"/>
      <c r="B4" s="236"/>
      <c r="C4" s="236"/>
      <c r="D4" s="236"/>
      <c r="E4" s="236"/>
      <c r="F4" s="236"/>
      <c r="G4" s="245" t="s">
        <v>501</v>
      </c>
      <c r="H4" s="246"/>
      <c r="I4" s="247"/>
      <c r="J4" s="248"/>
      <c r="K4" s="247"/>
      <c r="L4" s="249"/>
      <c r="M4" s="250"/>
      <c r="N4" s="251"/>
      <c r="O4" s="252" t="s">
        <v>495</v>
      </c>
      <c r="P4" s="253"/>
      <c r="Q4" s="253"/>
      <c r="R4" s="253"/>
      <c r="S4" s="254"/>
      <c r="T4" s="253"/>
      <c r="U4" s="253"/>
      <c r="V4" s="253"/>
      <c r="W4" s="253"/>
      <c r="X4" s="246"/>
      <c r="Y4" s="247"/>
      <c r="Z4" s="247"/>
      <c r="AA4" s="247"/>
      <c r="AB4" s="247"/>
      <c r="AC4" s="247"/>
      <c r="AD4" s="247"/>
      <c r="AE4" s="247"/>
      <c r="AF4" s="247"/>
      <c r="AG4" s="247"/>
      <c r="AH4" s="255"/>
      <c r="AI4" s="237"/>
      <c r="AJ4" s="256"/>
      <c r="AK4" s="33"/>
      <c r="AL4" s="33"/>
      <c r="AM4" s="33"/>
      <c r="AN4" s="148"/>
      <c r="AO4" s="33"/>
      <c r="AP4" s="33"/>
      <c r="AQ4" s="33"/>
      <c r="AR4" s="33"/>
      <c r="AS4" s="33"/>
      <c r="AT4" s="33"/>
      <c r="AU4" s="33"/>
      <c r="AV4" s="149"/>
      <c r="AW4" s="33"/>
      <c r="AX4" s="33"/>
      <c r="AY4" s="33"/>
      <c r="AZ4" s="33"/>
      <c r="BA4" s="33"/>
      <c r="BB4" s="33"/>
      <c r="BC4" s="33"/>
      <c r="BD4" s="33"/>
      <c r="BE4" s="33"/>
      <c r="BF4" s="33"/>
      <c r="BG4" s="33"/>
    </row>
    <row r="5" spans="1:59" ht="40.5" customHeight="1" thickBot="1" x14ac:dyDescent="0.35">
      <c r="A5" s="236"/>
      <c r="B5" s="236"/>
      <c r="C5" s="425" t="s">
        <v>508</v>
      </c>
      <c r="D5" s="236"/>
      <c r="E5" s="236"/>
      <c r="F5" s="236"/>
      <c r="G5" s="82" t="s">
        <v>406</v>
      </c>
      <c r="H5" s="207" t="s">
        <v>410</v>
      </c>
      <c r="I5" s="73" t="s">
        <v>418</v>
      </c>
      <c r="J5" s="74" t="s">
        <v>441</v>
      </c>
      <c r="K5" s="80" t="s">
        <v>423</v>
      </c>
      <c r="L5" s="81" t="s">
        <v>407</v>
      </c>
      <c r="M5" s="236"/>
      <c r="N5" s="258"/>
      <c r="O5" s="259"/>
      <c r="P5" s="237"/>
      <c r="Q5" s="237"/>
      <c r="R5" s="237"/>
      <c r="S5" s="237"/>
      <c r="T5" s="237"/>
      <c r="U5" s="237"/>
      <c r="V5" s="237"/>
      <c r="W5" s="237"/>
      <c r="X5" s="237"/>
      <c r="Y5" s="237"/>
      <c r="Z5" s="237"/>
      <c r="AA5" s="257"/>
      <c r="AB5" s="237"/>
      <c r="AC5" s="237"/>
      <c r="AD5" s="237"/>
      <c r="AE5" s="237"/>
      <c r="AF5" s="237"/>
      <c r="AG5" s="237"/>
      <c r="AH5" s="260"/>
      <c r="AI5" s="237"/>
      <c r="AJ5" s="33"/>
      <c r="AK5" s="33"/>
      <c r="AL5" s="33"/>
      <c r="AM5" s="33"/>
      <c r="AN5" s="33"/>
      <c r="AO5" s="33"/>
      <c r="AP5" s="33"/>
      <c r="AQ5" s="33"/>
      <c r="AR5" s="33"/>
      <c r="AS5" s="33"/>
      <c r="AT5" s="33"/>
      <c r="AU5" s="33"/>
      <c r="AV5" s="33"/>
      <c r="AW5" s="33"/>
      <c r="AX5" s="33"/>
      <c r="AY5" s="33"/>
      <c r="AZ5" s="33"/>
      <c r="BA5" s="33"/>
      <c r="BB5" s="33"/>
      <c r="BC5" s="33"/>
      <c r="BD5" s="33"/>
      <c r="BE5" s="33"/>
      <c r="BF5" s="33"/>
      <c r="BG5" s="33"/>
    </row>
    <row r="6" spans="1:59" ht="15" customHeight="1" thickTop="1" x14ac:dyDescent="0.25">
      <c r="A6" s="437" t="s">
        <v>240</v>
      </c>
      <c r="B6" s="438"/>
      <c r="C6" s="438"/>
      <c r="D6" s="438"/>
      <c r="E6" s="438"/>
      <c r="F6" s="439"/>
      <c r="G6" s="261" t="s">
        <v>182</v>
      </c>
      <c r="H6" s="243"/>
      <c r="I6" s="237"/>
      <c r="J6" s="237"/>
      <c r="K6" s="68" t="s">
        <v>224</v>
      </c>
      <c r="L6" s="78"/>
      <c r="M6" s="262"/>
      <c r="N6" s="263"/>
      <c r="O6" s="264"/>
      <c r="P6" s="265"/>
      <c r="Q6" s="265"/>
      <c r="R6" s="265"/>
      <c r="S6" s="265"/>
      <c r="T6" s="118" t="s">
        <v>577</v>
      </c>
      <c r="U6" s="118"/>
      <c r="V6" s="118"/>
      <c r="W6" s="118"/>
      <c r="X6" s="265"/>
      <c r="Y6" s="265"/>
      <c r="Z6" s="265"/>
      <c r="AA6" s="265"/>
      <c r="AB6" s="265"/>
      <c r="AC6" s="265"/>
      <c r="AD6" s="265"/>
      <c r="AE6" s="265"/>
      <c r="AF6" s="265"/>
      <c r="AG6" s="265"/>
      <c r="AH6" s="267"/>
      <c r="AI6" s="237"/>
      <c r="AJ6" s="135"/>
      <c r="AK6" s="135"/>
      <c r="AL6" s="135"/>
      <c r="AM6" s="135"/>
      <c r="AN6" s="135"/>
      <c r="AO6" s="135"/>
      <c r="AP6" s="135"/>
      <c r="AQ6" s="135"/>
      <c r="AR6" s="135"/>
      <c r="AS6" s="135"/>
      <c r="AT6" s="135"/>
      <c r="AU6" s="135"/>
      <c r="AV6" s="135"/>
      <c r="AW6" s="135"/>
      <c r="AX6" s="135"/>
      <c r="AY6" s="135"/>
      <c r="AZ6" s="135"/>
      <c r="BA6" s="135"/>
      <c r="BB6" s="135"/>
      <c r="BC6" s="135"/>
      <c r="BD6" s="33"/>
      <c r="BE6" s="33"/>
      <c r="BF6" s="33"/>
      <c r="BG6" s="33"/>
    </row>
    <row r="7" spans="1:59" ht="15" customHeight="1" x14ac:dyDescent="0.25">
      <c r="A7" s="426" t="s">
        <v>458</v>
      </c>
      <c r="B7" s="427"/>
      <c r="C7" s="427"/>
      <c r="D7" s="427"/>
      <c r="E7" s="427"/>
      <c r="F7" s="428"/>
      <c r="G7" s="419" t="s">
        <v>377</v>
      </c>
      <c r="H7" s="66" t="s">
        <v>415</v>
      </c>
      <c r="I7" s="231">
        <f>VLOOKUP(K$6,'Lookup Table'!A9:J79,3)</f>
        <v>1</v>
      </c>
      <c r="J7" s="58" t="str">
        <f>IF(K$6="Enter chemical properties","C","D")</f>
        <v>C</v>
      </c>
      <c r="K7" s="232">
        <v>1</v>
      </c>
      <c r="L7" s="75" t="s">
        <v>401</v>
      </c>
      <c r="M7" s="237"/>
      <c r="N7" s="268"/>
      <c r="O7" s="269"/>
      <c r="P7" s="270"/>
      <c r="Q7" s="270"/>
      <c r="R7" s="270"/>
      <c r="S7" s="270"/>
      <c r="T7" s="118" t="s">
        <v>581</v>
      </c>
      <c r="U7" s="118"/>
      <c r="V7" s="118"/>
      <c r="W7" s="118"/>
      <c r="X7" s="270"/>
      <c r="Y7" s="119" t="s">
        <v>580</v>
      </c>
      <c r="Z7" s="203"/>
      <c r="AA7" s="204"/>
      <c r="AB7" s="270"/>
      <c r="AC7" s="270"/>
      <c r="AD7" s="270"/>
      <c r="AE7" s="270"/>
      <c r="AF7" s="270"/>
      <c r="AG7" s="270"/>
      <c r="AH7" s="274"/>
      <c r="AI7" s="237"/>
      <c r="AJ7" s="136"/>
      <c r="AK7" s="136"/>
      <c r="AL7" s="136"/>
      <c r="AM7" s="136"/>
      <c r="AN7" s="136"/>
      <c r="AO7" s="136"/>
      <c r="AP7" s="136"/>
      <c r="AQ7" s="136"/>
      <c r="AR7" s="136"/>
      <c r="AS7" s="136"/>
      <c r="AT7" s="136"/>
      <c r="AU7" s="136"/>
      <c r="AV7" s="136"/>
      <c r="AW7" s="136"/>
      <c r="AX7" s="136"/>
      <c r="AY7" s="136"/>
      <c r="AZ7" s="136"/>
      <c r="BA7" s="136"/>
      <c r="BB7" s="136"/>
      <c r="BC7" s="136"/>
      <c r="BD7" s="33"/>
      <c r="BE7" s="33"/>
      <c r="BF7" s="33"/>
      <c r="BG7" s="33"/>
    </row>
    <row r="8" spans="1:59" ht="15" customHeight="1" x14ac:dyDescent="0.25">
      <c r="A8" s="426" t="s">
        <v>459</v>
      </c>
      <c r="B8" s="427"/>
      <c r="C8" s="427"/>
      <c r="D8" s="427"/>
      <c r="E8" s="427"/>
      <c r="F8" s="428"/>
      <c r="G8" s="419" t="s">
        <v>228</v>
      </c>
      <c r="H8" s="66" t="s">
        <v>415</v>
      </c>
      <c r="I8" s="229">
        <f>VLOOKUP($K$6,'Lookup Table'!A8:J79,4)</f>
        <v>1</v>
      </c>
      <c r="J8" s="58" t="str">
        <f t="shared" ref="J8:J10" si="0">IF(K$6="Enter chemical properties","C","D")</f>
        <v>C</v>
      </c>
      <c r="K8" s="124">
        <v>1</v>
      </c>
      <c r="L8" s="75" t="s">
        <v>403</v>
      </c>
      <c r="M8" s="237"/>
      <c r="N8" s="240"/>
      <c r="O8" s="269"/>
      <c r="P8" s="266"/>
      <c r="Q8" s="266"/>
      <c r="R8" s="266"/>
      <c r="S8" s="266"/>
      <c r="T8" s="51"/>
      <c r="U8" s="196">
        <f>AC38</f>
        <v>30.5</v>
      </c>
      <c r="V8" s="62"/>
      <c r="W8" s="266"/>
      <c r="X8" s="266"/>
      <c r="Y8" s="51"/>
      <c r="Z8" s="206">
        <f>AC39</f>
        <v>10</v>
      </c>
      <c r="AA8" s="62"/>
      <c r="AB8" s="266"/>
      <c r="AC8" s="271"/>
      <c r="AD8" s="272"/>
      <c r="AE8" s="273"/>
      <c r="AF8" s="270"/>
      <c r="AG8" s="270"/>
      <c r="AH8" s="274"/>
      <c r="AI8" s="237"/>
      <c r="AJ8" s="136"/>
      <c r="AK8" s="137"/>
      <c r="AL8" s="137"/>
      <c r="AM8" s="137"/>
      <c r="AN8" s="137"/>
      <c r="AO8" s="137"/>
      <c r="AP8" s="138"/>
      <c r="AQ8" s="62"/>
      <c r="AR8" s="137"/>
      <c r="AS8" s="137"/>
      <c r="AT8" s="137"/>
      <c r="AU8" s="139"/>
      <c r="AV8" s="62"/>
      <c r="AW8" s="137"/>
      <c r="AX8" s="140"/>
      <c r="AY8" s="62"/>
      <c r="AZ8" s="141"/>
      <c r="BA8" s="136"/>
      <c r="BB8" s="136"/>
      <c r="BC8" s="136"/>
      <c r="BD8" s="33"/>
      <c r="BE8" s="33"/>
      <c r="BF8" s="33"/>
      <c r="BG8" s="33"/>
    </row>
    <row r="9" spans="1:59" ht="15" customHeight="1" x14ac:dyDescent="0.25">
      <c r="A9" s="426" t="s">
        <v>460</v>
      </c>
      <c r="B9" s="427"/>
      <c r="C9" s="427"/>
      <c r="D9" s="427"/>
      <c r="E9" s="427"/>
      <c r="F9" s="428"/>
      <c r="G9" s="419" t="s">
        <v>258</v>
      </c>
      <c r="H9" s="66" t="s">
        <v>415</v>
      </c>
      <c r="I9" s="229">
        <f>VLOOKUP($K$6,'Lookup Table'!A8:J79,2)</f>
        <v>1</v>
      </c>
      <c r="J9" s="58" t="str">
        <f t="shared" si="0"/>
        <v>C</v>
      </c>
      <c r="K9" s="124">
        <v>1</v>
      </c>
      <c r="L9" s="75" t="s">
        <v>402</v>
      </c>
      <c r="M9" s="237"/>
      <c r="N9" s="251"/>
      <c r="O9" s="269"/>
      <c r="P9" s="266"/>
      <c r="Q9" s="266"/>
      <c r="R9" s="266"/>
      <c r="S9" s="266"/>
      <c r="T9" s="266"/>
      <c r="U9" s="266"/>
      <c r="V9" s="266"/>
      <c r="W9" s="266"/>
      <c r="X9" s="266"/>
      <c r="Y9" s="266"/>
      <c r="Z9" s="266"/>
      <c r="AA9" s="266"/>
      <c r="AB9" s="266"/>
      <c r="AC9" s="266"/>
      <c r="AD9" s="266"/>
      <c r="AE9" s="237"/>
      <c r="AF9" s="237"/>
      <c r="AG9" s="237"/>
      <c r="AH9" s="260"/>
      <c r="AI9" s="237"/>
      <c r="AJ9" s="136"/>
      <c r="AK9" s="137"/>
      <c r="AL9" s="137"/>
      <c r="AM9" s="137"/>
      <c r="AN9" s="137"/>
      <c r="AO9" s="137"/>
      <c r="AP9" s="137"/>
      <c r="AQ9" s="137"/>
      <c r="AR9" s="137"/>
      <c r="AS9" s="137"/>
      <c r="AT9" s="137"/>
      <c r="AU9" s="137"/>
      <c r="AV9" s="137"/>
      <c r="AW9" s="137"/>
      <c r="AX9" s="137"/>
      <c r="AY9" s="137"/>
      <c r="AZ9" s="33"/>
      <c r="BA9" s="33"/>
      <c r="BB9" s="33"/>
      <c r="BC9" s="33"/>
      <c r="BD9" s="33"/>
      <c r="BE9" s="33"/>
      <c r="BF9" s="33"/>
      <c r="BG9" s="33"/>
    </row>
    <row r="10" spans="1:59" ht="15" customHeight="1" x14ac:dyDescent="0.25">
      <c r="A10" s="426" t="s">
        <v>461</v>
      </c>
      <c r="B10" s="427"/>
      <c r="C10" s="427"/>
      <c r="D10" s="427"/>
      <c r="E10" s="427"/>
      <c r="F10" s="428"/>
      <c r="G10" s="420" t="s">
        <v>408</v>
      </c>
      <c r="H10" s="66" t="s">
        <v>415</v>
      </c>
      <c r="I10" s="229">
        <f>IF(VLOOKUP(K$6,'Lookup Table'!A8:J79,5) =0,IF( VLOOKUP(K$6,'Lookup Table'!A8:J79,6) =0, 'Alt-GPL Calc for VOCs'!$K10, VLOOKUP(K$6,'Lookup Table'!A8:J79,6)), VLOOKUP(K$6,'Lookup Table'!A8:L79,5))</f>
        <v>1</v>
      </c>
      <c r="J10" s="58" t="str">
        <f t="shared" si="0"/>
        <v>C</v>
      </c>
      <c r="K10" s="124">
        <v>1</v>
      </c>
      <c r="L10" s="75" t="s">
        <v>404</v>
      </c>
      <c r="M10" s="259"/>
      <c r="N10" s="237"/>
      <c r="O10" s="269"/>
      <c r="P10" s="266"/>
      <c r="Q10" s="266"/>
      <c r="R10" s="275"/>
      <c r="S10" s="275"/>
      <c r="T10" s="275"/>
      <c r="U10" s="275"/>
      <c r="V10" s="275"/>
      <c r="W10" s="275"/>
      <c r="X10" s="276"/>
      <c r="Y10" s="276"/>
      <c r="Z10" s="276"/>
      <c r="AA10" s="276"/>
      <c r="AB10" s="276"/>
      <c r="AC10" s="277"/>
      <c r="AD10" s="237"/>
      <c r="AE10" s="237"/>
      <c r="AF10" s="237"/>
      <c r="AG10" s="237"/>
      <c r="AH10" s="260"/>
      <c r="AI10" s="237"/>
      <c r="AJ10" s="136"/>
      <c r="AK10" s="137"/>
      <c r="AL10" s="137"/>
      <c r="AM10" s="137"/>
      <c r="AN10" s="137"/>
      <c r="AO10" s="137"/>
      <c r="AP10" s="137"/>
      <c r="AQ10" s="137"/>
      <c r="AR10" s="137"/>
      <c r="AS10" s="150"/>
      <c r="AT10" s="150"/>
      <c r="AU10" s="150"/>
      <c r="AV10" s="150"/>
      <c r="AW10" s="150"/>
      <c r="AX10" s="142"/>
      <c r="AY10" s="33"/>
      <c r="AZ10" s="33"/>
      <c r="BA10" s="33"/>
      <c r="BB10" s="33"/>
      <c r="BC10" s="33"/>
      <c r="BD10" s="33"/>
      <c r="BE10" s="33"/>
      <c r="BF10" s="33"/>
      <c r="BG10" s="33"/>
    </row>
    <row r="11" spans="1:59" ht="15" customHeight="1" x14ac:dyDescent="0.25">
      <c r="A11" s="426" t="s">
        <v>462</v>
      </c>
      <c r="B11" s="427"/>
      <c r="C11" s="427"/>
      <c r="D11" s="427"/>
      <c r="E11" s="429"/>
      <c r="F11" s="430"/>
      <c r="G11" s="421" t="s">
        <v>378</v>
      </c>
      <c r="H11" s="123" t="s">
        <v>444</v>
      </c>
      <c r="I11" s="176">
        <f>$K$11</f>
        <v>100000</v>
      </c>
      <c r="J11" s="60" t="str">
        <f>IF(OR(I11=1000,I11=100000),("D"),("C"))</f>
        <v>D</v>
      </c>
      <c r="K11" s="233">
        <v>100000</v>
      </c>
      <c r="L11" s="76" t="s">
        <v>419</v>
      </c>
      <c r="M11" s="237"/>
      <c r="N11" s="239"/>
      <c r="O11" s="269"/>
      <c r="P11" s="266"/>
      <c r="Q11" s="266"/>
      <c r="R11" s="278"/>
      <c r="S11" s="278"/>
      <c r="T11" s="278"/>
      <c r="U11" s="278"/>
      <c r="V11" s="278"/>
      <c r="W11" s="278"/>
      <c r="X11" s="278"/>
      <c r="Y11" s="278"/>
      <c r="Z11" s="278"/>
      <c r="AA11" s="278"/>
      <c r="AB11" s="278"/>
      <c r="AC11" s="197">
        <f>AC36</f>
        <v>1000</v>
      </c>
      <c r="AD11" s="120" t="s">
        <v>172</v>
      </c>
      <c r="AE11" s="205"/>
      <c r="AF11" s="237"/>
      <c r="AG11" s="237"/>
      <c r="AH11" s="260"/>
      <c r="AI11" s="237"/>
      <c r="AJ11" s="136"/>
      <c r="AK11" s="137"/>
      <c r="AL11" s="137"/>
      <c r="AM11" s="137"/>
      <c r="AN11" s="137"/>
      <c r="AO11" s="137"/>
      <c r="AP11" s="137"/>
      <c r="AQ11" s="137"/>
      <c r="AR11" s="137"/>
      <c r="AS11" s="137"/>
      <c r="AT11" s="137"/>
      <c r="AU11" s="137"/>
      <c r="AV11" s="137"/>
      <c r="AW11" s="137"/>
      <c r="AX11" s="143"/>
      <c r="AY11" s="137"/>
      <c r="AZ11" s="33"/>
      <c r="BA11" s="33"/>
      <c r="BB11" s="33"/>
      <c r="BC11" s="33"/>
      <c r="BD11" s="33"/>
      <c r="BE11" s="33"/>
      <c r="BF11" s="33"/>
      <c r="BG11" s="33"/>
    </row>
    <row r="12" spans="1:59" ht="15" customHeight="1" x14ac:dyDescent="0.25">
      <c r="A12" s="426" t="s">
        <v>463</v>
      </c>
      <c r="B12" s="427"/>
      <c r="C12" s="427"/>
      <c r="D12" s="427"/>
      <c r="E12" s="429"/>
      <c r="F12" s="428"/>
      <c r="G12" s="421" t="s">
        <v>379</v>
      </c>
      <c r="H12" s="123" t="s">
        <v>444</v>
      </c>
      <c r="I12" s="176">
        <f>$K$12</f>
        <v>100000</v>
      </c>
      <c r="J12" s="60" t="str">
        <f>IF(OR(I12=1000,I12=100000),("D"),("C"))</f>
        <v>D</v>
      </c>
      <c r="K12" s="178">
        <v>100000</v>
      </c>
      <c r="L12" s="76" t="s">
        <v>419</v>
      </c>
      <c r="M12" s="33"/>
      <c r="N12" s="29"/>
      <c r="O12" s="194" t="s">
        <v>500</v>
      </c>
      <c r="P12" s="200"/>
      <c r="Q12" s="198">
        <f>AC37</f>
        <v>1000</v>
      </c>
      <c r="R12" s="278"/>
      <c r="S12" s="278"/>
      <c r="T12" s="278"/>
      <c r="U12" s="278"/>
      <c r="V12" s="278"/>
      <c r="W12" s="278"/>
      <c r="X12" s="278"/>
      <c r="Y12" s="278"/>
      <c r="Z12" s="278"/>
      <c r="AA12" s="278"/>
      <c r="AB12" s="278"/>
      <c r="AC12" s="51"/>
      <c r="AD12" s="120" t="s">
        <v>579</v>
      </c>
      <c r="AE12" s="205"/>
      <c r="AF12" s="237"/>
      <c r="AG12" s="237"/>
      <c r="AH12" s="260"/>
      <c r="AI12" s="237"/>
      <c r="AJ12" s="137"/>
      <c r="AK12" s="33"/>
      <c r="AL12" s="142"/>
      <c r="AM12" s="137"/>
      <c r="AN12" s="137"/>
      <c r="AO12" s="137"/>
      <c r="AP12" s="137"/>
      <c r="AQ12" s="137"/>
      <c r="AR12" s="137"/>
      <c r="AS12" s="137"/>
      <c r="AT12" s="137"/>
      <c r="AU12" s="137"/>
      <c r="AV12" s="137"/>
      <c r="AW12" s="137"/>
      <c r="AX12" s="137"/>
      <c r="AY12" s="137"/>
      <c r="AZ12" s="33"/>
      <c r="BA12" s="33"/>
      <c r="BB12" s="33"/>
      <c r="BC12" s="33"/>
      <c r="BD12" s="33"/>
      <c r="BE12" s="33"/>
      <c r="BF12" s="33"/>
      <c r="BG12" s="33"/>
    </row>
    <row r="13" spans="1:59" ht="15" hidden="1" customHeight="1" x14ac:dyDescent="0.25">
      <c r="A13" s="426" t="s">
        <v>464</v>
      </c>
      <c r="B13" s="427"/>
      <c r="C13" s="427"/>
      <c r="D13" s="427"/>
      <c r="E13" s="427"/>
      <c r="F13" s="428"/>
      <c r="G13" s="69" t="s">
        <v>380</v>
      </c>
      <c r="H13" s="66" t="s">
        <v>415</v>
      </c>
      <c r="I13" s="128">
        <f>$K$13</f>
        <v>100</v>
      </c>
      <c r="J13" s="59" t="s">
        <v>13</v>
      </c>
      <c r="K13" s="126">
        <v>100</v>
      </c>
      <c r="L13" s="75" t="s">
        <v>405</v>
      </c>
      <c r="M13" s="33"/>
      <c r="N13" s="29"/>
      <c r="O13" s="194"/>
      <c r="P13" s="200"/>
      <c r="Q13" s="55"/>
      <c r="R13" s="278"/>
      <c r="S13" s="278"/>
      <c r="T13" s="278"/>
      <c r="U13" s="278"/>
      <c r="V13" s="278"/>
      <c r="W13" s="278"/>
      <c r="X13" s="278"/>
      <c r="Y13" s="278"/>
      <c r="Z13" s="278"/>
      <c r="AA13" s="278"/>
      <c r="AB13" s="278"/>
      <c r="AC13" s="51"/>
      <c r="AD13" s="51"/>
      <c r="AE13" s="29"/>
      <c r="AF13" s="237"/>
      <c r="AG13" s="237"/>
      <c r="AH13" s="260"/>
      <c r="AI13" s="237"/>
      <c r="AJ13" s="137"/>
      <c r="AK13" s="137"/>
      <c r="AL13" s="137"/>
      <c r="AM13" s="137"/>
      <c r="AN13" s="137"/>
      <c r="AO13" s="137"/>
      <c r="AP13" s="137"/>
      <c r="AQ13" s="137"/>
      <c r="AR13" s="137"/>
      <c r="AS13" s="137"/>
      <c r="AT13" s="137"/>
      <c r="AU13" s="137"/>
      <c r="AV13" s="137"/>
      <c r="AW13" s="137"/>
      <c r="AX13" s="137"/>
      <c r="AY13" s="137"/>
      <c r="AZ13" s="33"/>
      <c r="BA13" s="33"/>
      <c r="BB13" s="33"/>
      <c r="BC13" s="33"/>
      <c r="BD13" s="33"/>
      <c r="BE13" s="33"/>
      <c r="BF13" s="33"/>
      <c r="BG13" s="33"/>
    </row>
    <row r="14" spans="1:59" ht="15" customHeight="1" thickBot="1" x14ac:dyDescent="0.3">
      <c r="A14" s="431"/>
      <c r="B14" s="427"/>
      <c r="C14" s="427"/>
      <c r="D14" s="427"/>
      <c r="E14" s="427"/>
      <c r="F14" s="428"/>
      <c r="G14" s="279"/>
      <c r="H14" s="280"/>
      <c r="I14" s="281"/>
      <c r="J14" s="280"/>
      <c r="K14" s="282"/>
      <c r="L14" s="283"/>
      <c r="M14" s="237"/>
      <c r="N14" s="284"/>
      <c r="O14" s="194" t="s">
        <v>499</v>
      </c>
      <c r="P14" s="181"/>
      <c r="Q14" s="266"/>
      <c r="R14" s="278"/>
      <c r="S14" s="278"/>
      <c r="T14" s="278"/>
      <c r="U14" s="278"/>
      <c r="V14" s="278"/>
      <c r="W14" s="278"/>
      <c r="X14" s="278"/>
      <c r="Y14" s="278"/>
      <c r="Z14" s="278"/>
      <c r="AA14" s="278"/>
      <c r="AB14" s="278"/>
      <c r="AC14" s="266"/>
      <c r="AD14" s="266"/>
      <c r="AE14" s="237"/>
      <c r="AF14" s="237"/>
      <c r="AG14" s="237"/>
      <c r="AH14" s="260"/>
      <c r="AI14" s="237"/>
      <c r="AJ14" s="137"/>
      <c r="AK14" s="137"/>
      <c r="AL14" s="137"/>
      <c r="AM14" s="137"/>
      <c r="AN14" s="137"/>
      <c r="AO14" s="137"/>
      <c r="AP14" s="137"/>
      <c r="AQ14" s="151"/>
      <c r="AR14" s="152"/>
      <c r="AS14" s="137"/>
      <c r="AT14" s="137"/>
      <c r="AU14" s="137"/>
      <c r="AV14" s="137"/>
      <c r="AW14" s="137"/>
      <c r="AX14" s="140"/>
      <c r="AY14" s="137"/>
      <c r="AZ14" s="33"/>
      <c r="BA14" s="33"/>
      <c r="BB14" s="33"/>
      <c r="BC14" s="33"/>
      <c r="BD14" s="33"/>
      <c r="BE14" s="33"/>
      <c r="BF14" s="33"/>
      <c r="BG14" s="33"/>
    </row>
    <row r="15" spans="1:59" ht="15" customHeight="1" thickTop="1" thickBot="1" x14ac:dyDescent="0.3">
      <c r="A15" s="431" t="s">
        <v>239</v>
      </c>
      <c r="B15" s="427"/>
      <c r="C15" s="427"/>
      <c r="D15" s="427"/>
      <c r="E15" s="427"/>
      <c r="F15" s="428"/>
      <c r="G15" s="261" t="s">
        <v>381</v>
      </c>
      <c r="H15" s="285"/>
      <c r="I15" s="286"/>
      <c r="J15" s="287"/>
      <c r="K15" s="192" t="s">
        <v>238</v>
      </c>
      <c r="L15" s="193"/>
      <c r="M15" s="34"/>
      <c r="N15" s="129"/>
      <c r="O15" s="194" t="s">
        <v>582</v>
      </c>
      <c r="P15" s="181"/>
      <c r="Q15" s="266"/>
      <c r="R15" s="288"/>
      <c r="S15" s="288"/>
      <c r="T15" s="288"/>
      <c r="U15" s="288"/>
      <c r="V15" s="289" t="s">
        <v>174</v>
      </c>
      <c r="W15" s="290"/>
      <c r="X15" s="288"/>
      <c r="Y15" s="288"/>
      <c r="Z15" s="288"/>
      <c r="AA15" s="288"/>
      <c r="AB15" s="288"/>
      <c r="AC15" s="271" t="s">
        <v>99</v>
      </c>
      <c r="AD15" s="266"/>
      <c r="AE15" s="237"/>
      <c r="AF15" s="237"/>
      <c r="AG15" s="237"/>
      <c r="AH15" s="260"/>
      <c r="AI15" s="237"/>
      <c r="AJ15" s="33"/>
      <c r="AK15" s="137"/>
      <c r="AL15" s="137"/>
      <c r="AM15" s="137"/>
      <c r="AN15" s="137"/>
      <c r="AO15" s="137"/>
      <c r="AP15" s="137"/>
      <c r="AQ15" s="137"/>
      <c r="AR15" s="137"/>
      <c r="AS15" s="137"/>
      <c r="AT15" s="137"/>
      <c r="AU15" s="137"/>
      <c r="AV15" s="33"/>
      <c r="AW15" s="137"/>
      <c r="AX15" s="137"/>
      <c r="AY15" s="137"/>
      <c r="AZ15" s="33"/>
      <c r="BA15" s="33"/>
      <c r="BB15" s="33"/>
      <c r="BC15" s="33"/>
      <c r="BD15" s="33"/>
      <c r="BE15" s="33"/>
      <c r="BF15" s="33"/>
      <c r="BG15" s="33"/>
    </row>
    <row r="16" spans="1:59" ht="15" customHeight="1" x14ac:dyDescent="0.3">
      <c r="A16" s="426" t="s">
        <v>465</v>
      </c>
      <c r="B16" s="432"/>
      <c r="C16" s="427"/>
      <c r="D16" s="427"/>
      <c r="E16" s="427"/>
      <c r="F16" s="428"/>
      <c r="G16" s="422" t="s">
        <v>382</v>
      </c>
      <c r="H16" s="67">
        <v>0.25</v>
      </c>
      <c r="I16" s="175">
        <f>VLOOKUP($K$15,'Lookup Table'!B99:F109,3)</f>
        <v>0.5</v>
      </c>
      <c r="J16" s="58" t="str">
        <f>IF(K$15="New Soil Type","C","D")</f>
        <v>C</v>
      </c>
      <c r="K16" s="230">
        <v>0.5</v>
      </c>
      <c r="L16" s="75" t="s">
        <v>401</v>
      </c>
      <c r="M16" s="237"/>
      <c r="N16" s="237"/>
      <c r="O16" s="259"/>
      <c r="P16" s="266"/>
      <c r="Q16" s="266"/>
      <c r="R16" s="121"/>
      <c r="S16" s="292"/>
      <c r="T16" s="293"/>
      <c r="U16" s="293"/>
      <c r="V16" s="293"/>
      <c r="W16" s="293"/>
      <c r="X16" s="293"/>
      <c r="Y16" s="293"/>
      <c r="Z16" s="292"/>
      <c r="AA16" s="294"/>
      <c r="AB16" s="122"/>
      <c r="AC16" s="266"/>
      <c r="AD16" s="266"/>
      <c r="AE16" s="237"/>
      <c r="AF16" s="237"/>
      <c r="AG16" s="237"/>
      <c r="AH16" s="260"/>
      <c r="AI16" s="237"/>
      <c r="AJ16" s="136"/>
      <c r="AK16" s="137"/>
      <c r="AL16" s="137"/>
      <c r="AM16" s="137"/>
      <c r="AN16" s="137"/>
      <c r="AO16" s="137"/>
      <c r="AP16" s="137"/>
      <c r="AQ16" s="137"/>
      <c r="AR16" s="137"/>
      <c r="AS16" s="137"/>
      <c r="AT16" s="137"/>
      <c r="AU16" s="137"/>
      <c r="AV16" s="33"/>
      <c r="AW16" s="153"/>
      <c r="AX16" s="137"/>
      <c r="AY16" s="137"/>
      <c r="AZ16" s="33"/>
      <c r="BA16" s="33"/>
      <c r="BB16" s="33"/>
      <c r="BC16" s="33"/>
      <c r="BD16" s="33"/>
      <c r="BE16" s="33"/>
      <c r="BF16" s="33"/>
      <c r="BG16" s="33"/>
    </row>
    <row r="17" spans="1:59" ht="15" customHeight="1" thickBot="1" x14ac:dyDescent="0.4">
      <c r="A17" s="426" t="s">
        <v>466</v>
      </c>
      <c r="B17" s="427"/>
      <c r="C17" s="427"/>
      <c r="D17" s="427"/>
      <c r="E17" s="427"/>
      <c r="F17" s="428"/>
      <c r="G17" s="422" t="s">
        <v>214</v>
      </c>
      <c r="H17" s="67">
        <v>1.5</v>
      </c>
      <c r="I17" s="175">
        <f>VLOOKUP($K$15,'Lookup Table'!B99:F109,4)</f>
        <v>1.5</v>
      </c>
      <c r="J17" s="58" t="str">
        <f t="shared" ref="J17:J18" si="1">IF(K$15="New Soil Type","C","D")</f>
        <v>C</v>
      </c>
      <c r="K17" s="230">
        <v>1.5</v>
      </c>
      <c r="L17" s="75" t="s">
        <v>421</v>
      </c>
      <c r="M17" s="237"/>
      <c r="N17" s="237"/>
      <c r="O17" s="269"/>
      <c r="P17" s="266"/>
      <c r="Q17" s="266"/>
      <c r="R17" s="100"/>
      <c r="S17" s="278"/>
      <c r="T17" s="296"/>
      <c r="U17" s="296"/>
      <c r="V17" s="296"/>
      <c r="W17" s="296"/>
      <c r="X17" s="296"/>
      <c r="Y17" s="296"/>
      <c r="Z17" s="278"/>
      <c r="AA17" s="297"/>
      <c r="AB17" s="211" t="s">
        <v>496</v>
      </c>
      <c r="AC17" s="266"/>
      <c r="AD17" s="266"/>
      <c r="AE17" s="237"/>
      <c r="AF17" s="237"/>
      <c r="AG17" s="237"/>
      <c r="AH17" s="260"/>
      <c r="AI17" s="237"/>
      <c r="AJ17" s="136"/>
      <c r="AK17" s="137"/>
      <c r="AL17" s="137"/>
      <c r="AM17" s="137"/>
      <c r="AN17" s="137"/>
      <c r="AO17" s="137"/>
      <c r="AP17" s="137"/>
      <c r="AQ17" s="137"/>
      <c r="AR17" s="137"/>
      <c r="AS17" s="137"/>
      <c r="AT17" s="137"/>
      <c r="AU17" s="137"/>
      <c r="AV17" s="137"/>
      <c r="AW17" s="137"/>
      <c r="AX17" s="137"/>
      <c r="AY17" s="137"/>
      <c r="AZ17" s="33"/>
      <c r="BA17" s="33"/>
      <c r="BB17" s="33"/>
      <c r="BC17" s="33"/>
      <c r="BD17" s="33"/>
      <c r="BE17" s="33"/>
      <c r="BF17" s="33"/>
      <c r="BG17" s="33"/>
    </row>
    <row r="18" spans="1:59" ht="15" customHeight="1" thickBot="1" x14ac:dyDescent="0.3">
      <c r="A18" s="426" t="s">
        <v>467</v>
      </c>
      <c r="B18" s="427"/>
      <c r="C18" s="427"/>
      <c r="D18" s="427"/>
      <c r="E18" s="427"/>
      <c r="F18" s="428"/>
      <c r="G18" s="422" t="s">
        <v>383</v>
      </c>
      <c r="H18" s="67">
        <v>0.15</v>
      </c>
      <c r="I18" s="128">
        <f>VLOOKUP($K$15,'Lookup Table'!B99:F109,5)</f>
        <v>0.45</v>
      </c>
      <c r="J18" s="58" t="str">
        <f t="shared" si="1"/>
        <v>C</v>
      </c>
      <c r="K18" s="124">
        <v>0.45</v>
      </c>
      <c r="L18" s="75" t="s">
        <v>401</v>
      </c>
      <c r="M18" s="237"/>
      <c r="N18" s="237"/>
      <c r="O18" s="269"/>
      <c r="P18" s="266"/>
      <c r="Q18" s="266"/>
      <c r="R18" s="100"/>
      <c r="S18" s="278"/>
      <c r="T18" s="296"/>
      <c r="U18" s="296"/>
      <c r="V18" s="296"/>
      <c r="W18" s="296"/>
      <c r="X18" s="296"/>
      <c r="Y18" s="296"/>
      <c r="Z18" s="278"/>
      <c r="AA18" s="298"/>
      <c r="AB18" s="266"/>
      <c r="AC18" s="266" t="s">
        <v>166</v>
      </c>
      <c r="AD18" s="266"/>
      <c r="AE18" s="237"/>
      <c r="AF18" s="237"/>
      <c r="AG18" s="237"/>
      <c r="AH18" s="260"/>
      <c r="AI18" s="237"/>
      <c r="AJ18" s="136"/>
      <c r="AK18" s="136"/>
      <c r="AL18" s="137"/>
      <c r="AM18" s="137"/>
      <c r="AN18" s="137"/>
      <c r="AO18" s="137"/>
      <c r="AP18" s="137"/>
      <c r="AQ18" s="137"/>
      <c r="AR18" s="137"/>
      <c r="AS18" s="137"/>
      <c r="AT18" s="137"/>
      <c r="AU18" s="137"/>
      <c r="AV18" s="137"/>
      <c r="AW18" s="137"/>
      <c r="AX18" s="137"/>
      <c r="AY18" s="137"/>
      <c r="AZ18" s="33"/>
      <c r="BA18" s="33"/>
      <c r="BB18" s="33"/>
      <c r="BC18" s="33"/>
      <c r="BD18" s="33"/>
      <c r="BE18" s="33"/>
      <c r="BF18" s="33"/>
      <c r="BG18" s="33"/>
    </row>
    <row r="19" spans="1:59" ht="15" customHeight="1" thickBot="1" x14ac:dyDescent="0.3">
      <c r="A19" s="426" t="s">
        <v>504</v>
      </c>
      <c r="B19" s="427"/>
      <c r="C19" s="427"/>
      <c r="D19" s="427"/>
      <c r="E19" s="427"/>
      <c r="F19" s="428"/>
      <c r="G19" s="421" t="s">
        <v>384</v>
      </c>
      <c r="H19" s="67">
        <v>1E-3</v>
      </c>
      <c r="I19" s="174">
        <f>$K$19</f>
        <v>1E-3</v>
      </c>
      <c r="J19" s="60" t="str">
        <f>IF(I19=H19,("D"),("C"))</f>
        <v>D</v>
      </c>
      <c r="K19" s="173">
        <v>1E-3</v>
      </c>
      <c r="L19" s="75" t="s">
        <v>401</v>
      </c>
      <c r="M19" s="237"/>
      <c r="N19" s="237"/>
      <c r="O19" s="269"/>
      <c r="P19" s="270"/>
      <c r="Q19" s="266"/>
      <c r="R19" s="100"/>
      <c r="S19" s="278"/>
      <c r="T19" s="296"/>
      <c r="U19" s="296"/>
      <c r="V19" s="296"/>
      <c r="W19" s="296"/>
      <c r="X19" s="296"/>
      <c r="Y19" s="296"/>
      <c r="Z19" s="298"/>
      <c r="AA19" s="266"/>
      <c r="AB19" s="266"/>
      <c r="AC19" s="271" t="s">
        <v>416</v>
      </c>
      <c r="AD19" s="266"/>
      <c r="AE19" s="237"/>
      <c r="AF19" s="237"/>
      <c r="AG19" s="237"/>
      <c r="AH19" s="260"/>
      <c r="AI19" s="237"/>
      <c r="AJ19" s="136"/>
      <c r="AK19" s="136"/>
      <c r="AL19" s="137"/>
      <c r="AM19" s="137"/>
      <c r="AN19" s="137"/>
      <c r="AO19" s="137"/>
      <c r="AP19" s="137"/>
      <c r="AQ19" s="137"/>
      <c r="AR19" s="137"/>
      <c r="AS19" s="137"/>
      <c r="AT19" s="137"/>
      <c r="AU19" s="137"/>
      <c r="AV19" s="137"/>
      <c r="AW19" s="137"/>
      <c r="AX19" s="137"/>
      <c r="AY19" s="137"/>
      <c r="AZ19" s="33"/>
      <c r="BA19" s="33"/>
      <c r="BB19" s="33"/>
      <c r="BC19" s="33"/>
      <c r="BD19" s="33"/>
      <c r="BE19" s="33"/>
      <c r="BF19" s="33"/>
      <c r="BG19" s="33"/>
    </row>
    <row r="20" spans="1:59" ht="15" customHeight="1" x14ac:dyDescent="0.25">
      <c r="A20" s="426" t="s">
        <v>471</v>
      </c>
      <c r="B20" s="427"/>
      <c r="C20" s="427"/>
      <c r="D20" s="427"/>
      <c r="E20" s="427"/>
      <c r="F20" s="428"/>
      <c r="G20" s="421" t="s">
        <v>385</v>
      </c>
      <c r="H20" s="66">
        <v>1E-3</v>
      </c>
      <c r="I20" s="175">
        <f>$K$20</f>
        <v>1E-3</v>
      </c>
      <c r="J20" s="60" t="str">
        <f t="shared" ref="J20:J34" si="2">IF(I20=H20,("D"),("C"))</f>
        <v>D</v>
      </c>
      <c r="K20" s="173">
        <v>1E-3</v>
      </c>
      <c r="L20" s="76" t="s">
        <v>401</v>
      </c>
      <c r="M20" s="237"/>
      <c r="N20" s="237"/>
      <c r="O20" s="269"/>
      <c r="P20" s="270"/>
      <c r="Q20" s="266"/>
      <c r="R20" s="100"/>
      <c r="S20" s="278"/>
      <c r="T20" s="296"/>
      <c r="U20" s="296"/>
      <c r="V20" s="296"/>
      <c r="W20" s="296"/>
      <c r="X20" s="296"/>
      <c r="Y20" s="296"/>
      <c r="Z20" s="266"/>
      <c r="AA20" s="266"/>
      <c r="AB20" s="266"/>
      <c r="AC20" s="266"/>
      <c r="AD20" s="266"/>
      <c r="AE20" s="237"/>
      <c r="AF20" s="237"/>
      <c r="AG20" s="237"/>
      <c r="AH20" s="260"/>
      <c r="AI20" s="237"/>
      <c r="AJ20" s="136"/>
      <c r="AK20" s="137"/>
      <c r="AL20" s="137"/>
      <c r="AM20" s="137"/>
      <c r="AN20" s="137"/>
      <c r="AO20" s="137"/>
      <c r="AP20" s="137"/>
      <c r="AQ20" s="137"/>
      <c r="AR20" s="137"/>
      <c r="AS20" s="137"/>
      <c r="AT20" s="137"/>
      <c r="AU20" s="137"/>
      <c r="AV20" s="137"/>
      <c r="AW20" s="137"/>
      <c r="AX20" s="137"/>
      <c r="AY20" s="137"/>
      <c r="AZ20" s="33"/>
      <c r="BA20" s="33"/>
      <c r="BB20" s="33"/>
      <c r="BC20" s="33"/>
      <c r="BD20" s="33"/>
      <c r="BE20" s="33"/>
      <c r="BF20" s="33"/>
      <c r="BG20" s="33"/>
    </row>
    <row r="21" spans="1:59" ht="15" customHeight="1" x14ac:dyDescent="0.25">
      <c r="A21" s="426" t="s">
        <v>469</v>
      </c>
      <c r="B21" s="432"/>
      <c r="C21" s="432"/>
      <c r="D21" s="427"/>
      <c r="E21" s="427"/>
      <c r="F21" s="433"/>
      <c r="G21" s="421" t="s">
        <v>386</v>
      </c>
      <c r="H21" s="67">
        <v>7000</v>
      </c>
      <c r="I21" s="176">
        <f>$K$21</f>
        <v>7000</v>
      </c>
      <c r="J21" s="60" t="str">
        <f t="shared" si="2"/>
        <v>D</v>
      </c>
      <c r="K21" s="178">
        <v>7000</v>
      </c>
      <c r="L21" s="75" t="s">
        <v>422</v>
      </c>
      <c r="M21" s="237"/>
      <c r="N21" s="237"/>
      <c r="O21" s="269"/>
      <c r="P21" s="266"/>
      <c r="Q21" s="266"/>
      <c r="R21" s="100"/>
      <c r="S21" s="278"/>
      <c r="T21" s="296"/>
      <c r="U21" s="296"/>
      <c r="V21" s="296"/>
      <c r="W21" s="296"/>
      <c r="X21" s="296"/>
      <c r="Y21" s="296"/>
      <c r="Z21" s="266"/>
      <c r="AA21" s="266"/>
      <c r="AB21" s="266"/>
      <c r="AC21" s="266"/>
      <c r="AD21" s="266"/>
      <c r="AE21" s="237"/>
      <c r="AF21" s="237"/>
      <c r="AG21" s="237"/>
      <c r="AH21" s="260"/>
      <c r="AI21" s="237"/>
      <c r="AJ21" s="136"/>
      <c r="AK21" s="137"/>
      <c r="AL21" s="137"/>
      <c r="AM21" s="137"/>
      <c r="AN21" s="154"/>
      <c r="AO21" s="137"/>
      <c r="AP21" s="137"/>
      <c r="AQ21" s="137"/>
      <c r="AR21" s="137"/>
      <c r="AS21" s="137"/>
      <c r="AT21" s="137"/>
      <c r="AU21" s="137"/>
      <c r="AV21" s="137"/>
      <c r="AW21" s="137"/>
      <c r="AX21" s="137"/>
      <c r="AY21" s="137"/>
      <c r="AZ21" s="33"/>
      <c r="BA21" s="33"/>
      <c r="BB21" s="33"/>
      <c r="BC21" s="33"/>
      <c r="BD21" s="33"/>
      <c r="BE21" s="33"/>
      <c r="BF21" s="33"/>
      <c r="BG21" s="33"/>
    </row>
    <row r="22" spans="1:59" ht="15" customHeight="1" thickBot="1" x14ac:dyDescent="0.3">
      <c r="A22" s="426" t="s">
        <v>468</v>
      </c>
      <c r="B22" s="432"/>
      <c r="C22" s="427"/>
      <c r="D22" s="432"/>
      <c r="E22" s="427"/>
      <c r="F22" s="428"/>
      <c r="G22" s="421" t="s">
        <v>387</v>
      </c>
      <c r="H22" s="67">
        <v>0.7</v>
      </c>
      <c r="I22" s="175">
        <f>$K$22</f>
        <v>0.7</v>
      </c>
      <c r="J22" s="60" t="str">
        <f t="shared" si="2"/>
        <v>D</v>
      </c>
      <c r="K22" s="173">
        <v>0.7</v>
      </c>
      <c r="L22" s="75" t="s">
        <v>422</v>
      </c>
      <c r="M22" s="237"/>
      <c r="N22" s="237"/>
      <c r="O22" s="269"/>
      <c r="P22" s="266"/>
      <c r="Q22" s="266"/>
      <c r="R22" s="100"/>
      <c r="S22" s="210" t="s">
        <v>497</v>
      </c>
      <c r="T22" s="296"/>
      <c r="U22" s="296"/>
      <c r="V22" s="296"/>
      <c r="W22" s="296"/>
      <c r="X22" s="296"/>
      <c r="Y22" s="300"/>
      <c r="Z22" s="266"/>
      <c r="AA22" s="266"/>
      <c r="AB22" s="236"/>
      <c r="AC22" s="266"/>
      <c r="AD22" s="266"/>
      <c r="AE22" s="237"/>
      <c r="AF22" s="237"/>
      <c r="AG22" s="237"/>
      <c r="AH22" s="260"/>
      <c r="AI22" s="237"/>
      <c r="AJ22" s="136"/>
      <c r="AK22" s="137"/>
      <c r="AL22" s="137"/>
      <c r="AM22" s="142"/>
      <c r="AN22" s="137"/>
      <c r="AO22" s="137"/>
      <c r="AP22" s="137"/>
      <c r="AQ22" s="137"/>
      <c r="AR22" s="137"/>
      <c r="AS22" s="137"/>
      <c r="AT22" s="137"/>
      <c r="AU22" s="137"/>
      <c r="AV22" s="137"/>
      <c r="AW22" s="140"/>
      <c r="AX22" s="33"/>
      <c r="AY22" s="137"/>
      <c r="AZ22" s="136"/>
      <c r="BA22" s="136"/>
      <c r="BB22" s="136"/>
      <c r="BC22" s="136"/>
      <c r="BD22" s="33"/>
      <c r="BE22" s="33"/>
      <c r="BF22" s="33"/>
      <c r="BG22" s="33"/>
    </row>
    <row r="23" spans="1:59" ht="15" customHeight="1" x14ac:dyDescent="0.25">
      <c r="A23" s="426" t="s">
        <v>470</v>
      </c>
      <c r="B23" s="427"/>
      <c r="C23" s="427"/>
      <c r="D23" s="427"/>
      <c r="E23" s="427"/>
      <c r="F23" s="428"/>
      <c r="G23" s="421" t="s">
        <v>167</v>
      </c>
      <c r="H23" s="67">
        <v>0.5</v>
      </c>
      <c r="I23" s="175">
        <f>$K$23</f>
        <v>0.5</v>
      </c>
      <c r="J23" s="60" t="str">
        <f t="shared" si="2"/>
        <v>D</v>
      </c>
      <c r="K23" s="173">
        <v>0.5</v>
      </c>
      <c r="L23" s="76" t="s">
        <v>392</v>
      </c>
      <c r="M23" s="237"/>
      <c r="N23" s="237"/>
      <c r="O23" s="269"/>
      <c r="P23" s="266"/>
      <c r="Q23" s="266"/>
      <c r="R23" s="101"/>
      <c r="S23" s="278"/>
      <c r="T23" s="296"/>
      <c r="U23" s="296"/>
      <c r="V23" s="296"/>
      <c r="W23" s="296"/>
      <c r="X23" s="296"/>
      <c r="Y23" s="266"/>
      <c r="Z23" s="266"/>
      <c r="AA23" s="266"/>
      <c r="AB23" s="236"/>
      <c r="AC23" s="237"/>
      <c r="AD23" s="266"/>
      <c r="AE23" s="270"/>
      <c r="AF23" s="270"/>
      <c r="AG23" s="270"/>
      <c r="AH23" s="274"/>
      <c r="AI23" s="237"/>
      <c r="AJ23" s="136"/>
      <c r="AK23" s="137"/>
      <c r="AL23" s="137"/>
      <c r="AM23" s="183"/>
      <c r="AN23" s="137"/>
      <c r="AO23" s="137"/>
      <c r="AP23" s="137"/>
      <c r="AQ23" s="137"/>
      <c r="AR23" s="137"/>
      <c r="AS23" s="137"/>
      <c r="AT23" s="137"/>
      <c r="AU23" s="137"/>
      <c r="AV23" s="137"/>
      <c r="AW23" s="137"/>
      <c r="AX23" s="137"/>
      <c r="AY23" s="137"/>
      <c r="AZ23" s="136"/>
      <c r="BA23" s="136"/>
      <c r="BB23" s="136"/>
      <c r="BC23" s="136"/>
      <c r="BD23" s="33"/>
      <c r="BE23" s="33"/>
      <c r="BF23" s="33"/>
      <c r="BG23" s="33"/>
    </row>
    <row r="24" spans="1:59" ht="15" customHeight="1" thickBot="1" x14ac:dyDescent="0.3">
      <c r="A24" s="426" t="s">
        <v>475</v>
      </c>
      <c r="B24" s="427"/>
      <c r="C24" s="427"/>
      <c r="D24" s="427"/>
      <c r="E24" s="427"/>
      <c r="F24" s="433"/>
      <c r="G24" s="422" t="s">
        <v>450</v>
      </c>
      <c r="H24" s="67">
        <v>7.0000000000000001E-3</v>
      </c>
      <c r="I24" s="175">
        <f>$K$24</f>
        <v>7.0000000000000001E-3</v>
      </c>
      <c r="J24" s="60" t="str">
        <f t="shared" si="2"/>
        <v>D</v>
      </c>
      <c r="K24" s="173">
        <v>7.0000000000000001E-3</v>
      </c>
      <c r="L24" s="75" t="s">
        <v>400</v>
      </c>
      <c r="M24" s="237"/>
      <c r="N24" s="237"/>
      <c r="O24" s="269"/>
      <c r="P24" s="266"/>
      <c r="Q24" s="266"/>
      <c r="R24" s="133" t="s">
        <v>165</v>
      </c>
      <c r="S24" s="278"/>
      <c r="T24" s="296"/>
      <c r="U24" s="296"/>
      <c r="V24" s="296"/>
      <c r="W24" s="296"/>
      <c r="X24" s="300"/>
      <c r="Y24" s="266"/>
      <c r="Z24" s="266"/>
      <c r="AA24" s="266"/>
      <c r="AB24" s="266"/>
      <c r="AC24" s="266"/>
      <c r="AD24" s="266"/>
      <c r="AE24" s="270"/>
      <c r="AF24" s="270"/>
      <c r="AG24" s="270"/>
      <c r="AH24" s="274"/>
      <c r="AI24" s="237"/>
      <c r="AJ24" s="137"/>
      <c r="AK24" s="33"/>
      <c r="AL24" s="142"/>
      <c r="AM24" s="183"/>
      <c r="AN24" s="137"/>
      <c r="AO24" s="137"/>
      <c r="AP24" s="137"/>
      <c r="AQ24" s="137"/>
      <c r="AR24" s="137"/>
      <c r="AS24" s="137"/>
      <c r="AT24" s="137"/>
      <c r="AU24" s="137"/>
      <c r="AV24" s="137"/>
      <c r="AW24" s="137"/>
      <c r="AX24" s="137"/>
      <c r="AY24" s="137"/>
      <c r="AZ24" s="136"/>
      <c r="BA24" s="136"/>
      <c r="BB24" s="136"/>
      <c r="BC24" s="136"/>
      <c r="BD24" s="33"/>
      <c r="BE24" s="33"/>
      <c r="BF24" s="33"/>
      <c r="BG24" s="33"/>
    </row>
    <row r="25" spans="1:59" ht="15" customHeight="1" x14ac:dyDescent="0.25">
      <c r="A25" s="426" t="s">
        <v>505</v>
      </c>
      <c r="B25" s="427"/>
      <c r="C25" s="427"/>
      <c r="D25" s="427"/>
      <c r="E25" s="427"/>
      <c r="F25" s="428"/>
      <c r="G25" s="421" t="s">
        <v>66</v>
      </c>
      <c r="H25" s="67">
        <v>1000</v>
      </c>
      <c r="I25" s="176">
        <f>K25</f>
        <v>1000</v>
      </c>
      <c r="J25" s="60" t="str">
        <f t="shared" si="2"/>
        <v>D</v>
      </c>
      <c r="K25" s="178">
        <v>1000</v>
      </c>
      <c r="L25" s="75" t="s">
        <v>392</v>
      </c>
      <c r="M25" s="237"/>
      <c r="N25" s="237"/>
      <c r="O25" s="195" t="s">
        <v>168</v>
      </c>
      <c r="P25" s="201"/>
      <c r="Q25" s="199">
        <f>AC40</f>
        <v>8.1999999999999993</v>
      </c>
      <c r="R25" s="133" t="s">
        <v>175</v>
      </c>
      <c r="S25" s="278"/>
      <c r="T25" s="296"/>
      <c r="U25" s="296"/>
      <c r="V25" s="296"/>
      <c r="W25" s="296"/>
      <c r="X25" s="266"/>
      <c r="Y25" s="266"/>
      <c r="Z25" s="266"/>
      <c r="AA25" s="266"/>
      <c r="AB25" s="266"/>
      <c r="AC25" s="266"/>
      <c r="AD25" s="266"/>
      <c r="AE25" s="270"/>
      <c r="AF25" s="270"/>
      <c r="AG25" s="270"/>
      <c r="AH25" s="274"/>
      <c r="AI25" s="237"/>
      <c r="AJ25" s="140"/>
      <c r="AK25" s="137"/>
      <c r="AL25" s="33"/>
      <c r="AM25" s="183"/>
      <c r="AN25" s="137"/>
      <c r="AO25" s="137"/>
      <c r="AP25" s="137"/>
      <c r="AQ25" s="137"/>
      <c r="AR25" s="137"/>
      <c r="AS25" s="137"/>
      <c r="AT25" s="137"/>
      <c r="AU25" s="137"/>
      <c r="AV25" s="137"/>
      <c r="AW25" s="137"/>
      <c r="AX25" s="137"/>
      <c r="AY25" s="137"/>
      <c r="AZ25" s="136"/>
      <c r="BA25" s="136"/>
      <c r="BB25" s="136"/>
      <c r="BC25" s="136"/>
      <c r="BD25" s="33"/>
      <c r="BE25" s="33"/>
      <c r="BF25" s="33"/>
      <c r="BG25" s="33"/>
    </row>
    <row r="26" spans="1:59" ht="15" customHeight="1" thickBot="1" x14ac:dyDescent="0.3">
      <c r="A26" s="426" t="s">
        <v>506</v>
      </c>
      <c r="B26" s="427"/>
      <c r="C26" s="427"/>
      <c r="D26" s="427"/>
      <c r="E26" s="427"/>
      <c r="F26" s="428"/>
      <c r="G26" s="421" t="s">
        <v>149</v>
      </c>
      <c r="H26" s="67">
        <v>1000</v>
      </c>
      <c r="I26" s="176">
        <f>K26</f>
        <v>1000</v>
      </c>
      <c r="J26" s="60" t="str">
        <f t="shared" si="2"/>
        <v>D</v>
      </c>
      <c r="K26" s="178">
        <v>1000</v>
      </c>
      <c r="L26" s="75" t="s">
        <v>392</v>
      </c>
      <c r="M26" s="237"/>
      <c r="N26" s="237"/>
      <c r="O26" s="202" t="s">
        <v>583</v>
      </c>
      <c r="P26" s="182"/>
      <c r="Q26" s="29"/>
      <c r="R26" s="133" t="s">
        <v>173</v>
      </c>
      <c r="S26" s="278"/>
      <c r="T26" s="296"/>
      <c r="U26" s="296"/>
      <c r="V26" s="296"/>
      <c r="W26" s="300"/>
      <c r="X26" s="266"/>
      <c r="Y26" s="266"/>
      <c r="Z26" s="266"/>
      <c r="AA26" s="266"/>
      <c r="AB26" s="266"/>
      <c r="AC26" s="266"/>
      <c r="AD26" s="266"/>
      <c r="AE26" s="270"/>
      <c r="AF26" s="270"/>
      <c r="AG26" s="270"/>
      <c r="AH26" s="274"/>
      <c r="AI26" s="237"/>
      <c r="AJ26" s="136"/>
      <c r="AK26" s="137"/>
      <c r="AL26" s="137"/>
      <c r="AM26" s="183"/>
      <c r="AN26" s="137"/>
      <c r="AO26" s="137"/>
      <c r="AP26" s="137"/>
      <c r="AQ26" s="137"/>
      <c r="AR26" s="137"/>
      <c r="AS26" s="137"/>
      <c r="AT26" s="137"/>
      <c r="AU26" s="137"/>
      <c r="AV26" s="137"/>
      <c r="AW26" s="137"/>
      <c r="AX26" s="137"/>
      <c r="AY26" s="137"/>
      <c r="AZ26" s="144"/>
      <c r="BA26" s="136"/>
      <c r="BB26" s="136"/>
      <c r="BC26" s="136"/>
      <c r="BD26" s="33"/>
      <c r="BE26" s="33"/>
      <c r="BF26" s="33"/>
      <c r="BG26" s="33"/>
    </row>
    <row r="27" spans="1:59" ht="15" customHeight="1" x14ac:dyDescent="0.25">
      <c r="A27" s="426" t="s">
        <v>472</v>
      </c>
      <c r="B27" s="427"/>
      <c r="C27" s="427"/>
      <c r="D27" s="427"/>
      <c r="E27" s="427"/>
      <c r="F27" s="428"/>
      <c r="G27" s="421" t="s">
        <v>164</v>
      </c>
      <c r="H27" s="67">
        <v>30.5</v>
      </c>
      <c r="I27" s="128">
        <f>$K$27</f>
        <v>30.5</v>
      </c>
      <c r="J27" s="60" t="str">
        <f t="shared" si="2"/>
        <v>D</v>
      </c>
      <c r="K27" s="125">
        <v>30.5</v>
      </c>
      <c r="L27" s="75" t="s">
        <v>393</v>
      </c>
      <c r="M27" s="237"/>
      <c r="N27" s="237"/>
      <c r="O27" s="269"/>
      <c r="P27" s="266"/>
      <c r="Q27" s="266"/>
      <c r="R27" s="133" t="s">
        <v>173</v>
      </c>
      <c r="S27" s="278"/>
      <c r="T27" s="296"/>
      <c r="U27" s="296"/>
      <c r="V27" s="296"/>
      <c r="W27" s="266"/>
      <c r="X27" s="266"/>
      <c r="Y27" s="266"/>
      <c r="Z27" s="266"/>
      <c r="AA27" s="266"/>
      <c r="AB27" s="266" t="s">
        <v>170</v>
      </c>
      <c r="AC27" s="266"/>
      <c r="AD27" s="266"/>
      <c r="AE27" s="301"/>
      <c r="AF27" s="270"/>
      <c r="AG27" s="270"/>
      <c r="AH27" s="274"/>
      <c r="AI27" s="237"/>
      <c r="AJ27" s="136"/>
      <c r="AK27" s="137"/>
      <c r="AL27" s="137"/>
      <c r="AM27" s="183"/>
      <c r="AN27" s="137"/>
      <c r="AO27" s="137"/>
      <c r="AP27" s="137"/>
      <c r="AQ27" s="137"/>
      <c r="AR27" s="137"/>
      <c r="AS27" s="137"/>
      <c r="AT27" s="137"/>
      <c r="AU27" s="137"/>
      <c r="AV27" s="137"/>
      <c r="AW27" s="137"/>
      <c r="AX27" s="137"/>
      <c r="AY27" s="137"/>
      <c r="AZ27" s="136"/>
      <c r="BA27" s="136"/>
      <c r="BB27" s="136"/>
      <c r="BC27" s="136"/>
      <c r="BD27" s="33"/>
      <c r="BE27" s="33"/>
      <c r="BF27" s="33"/>
      <c r="BG27" s="33"/>
    </row>
    <row r="28" spans="1:59" ht="15" customHeight="1" thickBot="1" x14ac:dyDescent="0.3">
      <c r="A28" s="426" t="s">
        <v>473</v>
      </c>
      <c r="B28" s="427"/>
      <c r="C28" s="427"/>
      <c r="D28" s="427"/>
      <c r="E28" s="427"/>
      <c r="F28" s="428"/>
      <c r="G28" s="421" t="s">
        <v>165</v>
      </c>
      <c r="H28" s="67">
        <v>10</v>
      </c>
      <c r="I28" s="128">
        <f>$K$28</f>
        <v>10</v>
      </c>
      <c r="J28" s="60" t="str">
        <f t="shared" si="2"/>
        <v>D</v>
      </c>
      <c r="K28" s="125">
        <v>10</v>
      </c>
      <c r="L28" s="75" t="s">
        <v>393</v>
      </c>
      <c r="M28" s="237"/>
      <c r="N28" s="237"/>
      <c r="O28" s="269"/>
      <c r="P28" s="266"/>
      <c r="Q28" s="266"/>
      <c r="R28" s="133"/>
      <c r="S28" s="278"/>
      <c r="T28" s="296"/>
      <c r="U28" s="296"/>
      <c r="V28" s="300"/>
      <c r="W28" s="266"/>
      <c r="X28" s="266"/>
      <c r="Y28" s="266"/>
      <c r="Z28" s="266"/>
      <c r="AA28" s="266"/>
      <c r="AB28" s="266" t="s">
        <v>493</v>
      </c>
      <c r="AC28" s="266"/>
      <c r="AD28" s="266"/>
      <c r="AE28" s="270"/>
      <c r="AF28" s="270"/>
      <c r="AG28" s="270"/>
      <c r="AH28" s="274"/>
      <c r="AI28" s="237"/>
      <c r="AJ28" s="136"/>
      <c r="AK28" s="137"/>
      <c r="AL28" s="137"/>
      <c r="AM28" s="183"/>
      <c r="AN28" s="137"/>
      <c r="AO28" s="137"/>
      <c r="AP28" s="137"/>
      <c r="AQ28" s="137"/>
      <c r="AR28" s="137"/>
      <c r="AS28" s="137"/>
      <c r="AT28" s="137"/>
      <c r="AU28" s="137"/>
      <c r="AV28" s="137"/>
      <c r="AW28" s="137"/>
      <c r="AX28" s="137"/>
      <c r="AY28" s="137"/>
      <c r="AZ28" s="136"/>
      <c r="BA28" s="136"/>
      <c r="BB28" s="136"/>
      <c r="BC28" s="136"/>
      <c r="BD28" s="33"/>
      <c r="BE28" s="33"/>
      <c r="BF28" s="33"/>
      <c r="BG28" s="33"/>
    </row>
    <row r="29" spans="1:59" ht="15" customHeight="1" thickBot="1" x14ac:dyDescent="0.3">
      <c r="A29" s="426" t="s">
        <v>474</v>
      </c>
      <c r="B29" s="434"/>
      <c r="C29" s="435"/>
      <c r="D29" s="435"/>
      <c r="E29" s="435"/>
      <c r="F29" s="436"/>
      <c r="G29" s="423" t="s">
        <v>169</v>
      </c>
      <c r="H29" s="67">
        <v>8.1999999999999993</v>
      </c>
      <c r="I29" s="128">
        <f>$K$29</f>
        <v>8.1999999999999993</v>
      </c>
      <c r="J29" s="60" t="str">
        <f t="shared" si="2"/>
        <v>D</v>
      </c>
      <c r="K29" s="127">
        <v>8.1999999999999993</v>
      </c>
      <c r="L29" s="75" t="s">
        <v>393</v>
      </c>
      <c r="M29" s="302"/>
      <c r="N29" s="237"/>
      <c r="O29" s="269"/>
      <c r="P29" s="266"/>
      <c r="Q29" s="266"/>
      <c r="R29" s="133"/>
      <c r="S29" s="278"/>
      <c r="T29" s="296"/>
      <c r="U29" s="300"/>
      <c r="V29" s="266"/>
      <c r="W29" s="266"/>
      <c r="X29" s="266"/>
      <c r="Y29" s="266"/>
      <c r="Z29" s="266"/>
      <c r="AA29" s="266"/>
      <c r="AB29" s="266"/>
      <c r="AC29" s="266"/>
      <c r="AD29" s="266"/>
      <c r="AE29" s="270"/>
      <c r="AF29" s="270"/>
      <c r="AG29" s="270"/>
      <c r="AH29" s="274"/>
      <c r="AI29" s="237"/>
      <c r="AJ29" s="136"/>
      <c r="AK29" s="137"/>
      <c r="AL29" s="137"/>
      <c r="AM29" s="183"/>
      <c r="AN29" s="137"/>
      <c r="AO29" s="137"/>
      <c r="AP29" s="137"/>
      <c r="AQ29" s="137"/>
      <c r="AR29" s="137"/>
      <c r="AS29" s="137"/>
      <c r="AT29" s="137"/>
      <c r="AU29" s="137"/>
      <c r="AV29" s="136"/>
      <c r="AW29" s="33"/>
      <c r="AX29" s="156"/>
      <c r="AY29" s="157"/>
      <c r="AZ29" s="156"/>
      <c r="BA29" s="33"/>
      <c r="BB29" s="135"/>
      <c r="BC29" s="136"/>
      <c r="BD29" s="33"/>
      <c r="BE29" s="33"/>
      <c r="BF29" s="33"/>
      <c r="BG29" s="33"/>
    </row>
    <row r="30" spans="1:59" ht="15" customHeight="1" thickBot="1" x14ac:dyDescent="0.3">
      <c r="A30" s="426" t="s">
        <v>480</v>
      </c>
      <c r="B30" s="427"/>
      <c r="C30" s="427"/>
      <c r="D30" s="427"/>
      <c r="E30" s="427"/>
      <c r="F30" s="428"/>
      <c r="G30" s="422" t="s">
        <v>481</v>
      </c>
      <c r="H30" s="67">
        <v>10</v>
      </c>
      <c r="I30" s="128">
        <f>K30</f>
        <v>10</v>
      </c>
      <c r="J30" s="60" t="str">
        <f t="shared" si="2"/>
        <v>D</v>
      </c>
      <c r="K30" s="125">
        <v>10</v>
      </c>
      <c r="L30" s="75" t="s">
        <v>400</v>
      </c>
      <c r="M30" s="237"/>
      <c r="N30" s="237"/>
      <c r="O30" s="269"/>
      <c r="P30" s="266"/>
      <c r="Q30" s="266"/>
      <c r="R30" s="133" t="s">
        <v>169</v>
      </c>
      <c r="S30" s="278"/>
      <c r="T30" s="296"/>
      <c r="U30" s="266"/>
      <c r="V30" s="266"/>
      <c r="W30" s="266"/>
      <c r="X30" s="266"/>
      <c r="Y30" s="266"/>
      <c r="Z30" s="266"/>
      <c r="AA30" s="270"/>
      <c r="AB30" s="236"/>
      <c r="AC30" s="236"/>
      <c r="AD30" s="236"/>
      <c r="AE30" s="236"/>
      <c r="AF30" s="236"/>
      <c r="AG30" s="265"/>
      <c r="AH30" s="274"/>
      <c r="AI30" s="237"/>
      <c r="AJ30" s="136"/>
      <c r="AK30" s="137"/>
      <c r="AL30" s="137"/>
      <c r="AM30" s="183"/>
      <c r="AN30" s="137"/>
      <c r="AO30" s="137"/>
      <c r="AP30" s="137"/>
      <c r="AQ30" s="137"/>
      <c r="AR30" s="137"/>
      <c r="AS30" s="137"/>
      <c r="AT30" s="137"/>
      <c r="AU30" s="137"/>
      <c r="AV30" s="136"/>
      <c r="AW30" s="156"/>
      <c r="AX30" s="156"/>
      <c r="AY30" s="156"/>
      <c r="AZ30" s="156"/>
      <c r="BA30" s="156"/>
      <c r="BB30" s="135"/>
      <c r="BC30" s="136"/>
      <c r="BD30" s="33"/>
      <c r="BE30" s="33"/>
      <c r="BF30" s="33"/>
      <c r="BG30" s="33"/>
    </row>
    <row r="31" spans="1:59" ht="15" customHeight="1" thickBot="1" x14ac:dyDescent="0.3">
      <c r="A31" s="426" t="s">
        <v>476</v>
      </c>
      <c r="B31" s="427"/>
      <c r="C31" s="427"/>
      <c r="D31" s="427"/>
      <c r="E31" s="427"/>
      <c r="F31" s="428"/>
      <c r="G31" s="424" t="s">
        <v>449</v>
      </c>
      <c r="H31" s="189">
        <v>7.0000000000000001E-3</v>
      </c>
      <c r="I31" s="190">
        <f>$K$31</f>
        <v>7.0000000000000001E-3</v>
      </c>
      <c r="J31" s="72" t="str">
        <f t="shared" si="2"/>
        <v>D</v>
      </c>
      <c r="K31" s="191">
        <v>7.0000000000000001E-3</v>
      </c>
      <c r="L31" s="77" t="s">
        <v>400</v>
      </c>
      <c r="M31" s="237"/>
      <c r="N31" s="237"/>
      <c r="O31" s="269"/>
      <c r="P31" s="266"/>
      <c r="Q31" s="266"/>
      <c r="R31" s="133" t="s">
        <v>176</v>
      </c>
      <c r="S31" s="278"/>
      <c r="T31" s="300"/>
      <c r="U31" s="266"/>
      <c r="V31" s="266"/>
      <c r="W31" s="266"/>
      <c r="X31" s="266"/>
      <c r="Y31" s="266"/>
      <c r="Z31" s="266"/>
      <c r="AA31" s="270"/>
      <c r="AB31" s="522" t="s">
        <v>395</v>
      </c>
      <c r="AC31" s="523"/>
      <c r="AD31" s="523"/>
      <c r="AE31" s="523"/>
      <c r="AF31" s="524"/>
      <c r="AG31" s="265"/>
      <c r="AH31" s="274"/>
      <c r="AI31" s="237"/>
      <c r="AJ31" s="136"/>
      <c r="AK31" s="137"/>
      <c r="AL31" s="137"/>
      <c r="AM31" s="183"/>
      <c r="AN31" s="137"/>
      <c r="AO31" s="137"/>
      <c r="AP31" s="137"/>
      <c r="AQ31" s="137"/>
      <c r="AR31" s="137"/>
      <c r="AS31" s="137"/>
      <c r="AT31" s="137"/>
      <c r="AU31" s="137"/>
      <c r="AV31" s="136"/>
      <c r="AW31" s="156"/>
      <c r="AX31" s="142"/>
      <c r="AY31" s="156"/>
      <c r="AZ31" s="140"/>
      <c r="BA31" s="156"/>
      <c r="BB31" s="135"/>
      <c r="BC31" s="136"/>
      <c r="BD31" s="33"/>
      <c r="BE31" s="33"/>
      <c r="BF31" s="33"/>
      <c r="BG31" s="33"/>
    </row>
    <row r="32" spans="1:59" ht="15" hidden="1" customHeight="1" x14ac:dyDescent="0.25">
      <c r="A32" s="291" t="s">
        <v>477</v>
      </c>
      <c r="B32" s="236"/>
      <c r="C32" s="236"/>
      <c r="D32" s="236"/>
      <c r="E32" s="236"/>
      <c r="F32" s="236"/>
      <c r="G32" s="70" t="s">
        <v>389</v>
      </c>
      <c r="H32" s="184" t="s">
        <v>409</v>
      </c>
      <c r="I32" s="185">
        <f>$K$32</f>
        <v>10</v>
      </c>
      <c r="J32" s="186" t="str">
        <f t="shared" si="2"/>
        <v>C</v>
      </c>
      <c r="K32" s="187">
        <v>10</v>
      </c>
      <c r="L32" s="188" t="s">
        <v>419</v>
      </c>
      <c r="M32" s="237"/>
      <c r="N32" s="236"/>
      <c r="O32" s="269"/>
      <c r="P32" s="266"/>
      <c r="Q32" s="266"/>
      <c r="R32" s="133" t="s">
        <v>177</v>
      </c>
      <c r="S32" s="278"/>
      <c r="T32" s="266"/>
      <c r="U32" s="266"/>
      <c r="V32" s="266"/>
      <c r="W32" s="266"/>
      <c r="X32" s="266"/>
      <c r="Y32" s="266"/>
      <c r="Z32" s="266"/>
      <c r="AA32" s="270"/>
      <c r="AB32" s="215"/>
      <c r="AC32" s="212" t="s">
        <v>396</v>
      </c>
      <c r="AD32" s="213"/>
      <c r="AE32" s="214" t="s">
        <v>397</v>
      </c>
      <c r="AF32" s="216"/>
      <c r="AG32" s="265"/>
      <c r="AH32" s="274"/>
      <c r="AI32" s="236"/>
      <c r="AJ32" s="136"/>
      <c r="AK32" s="137"/>
      <c r="AL32" s="137"/>
      <c r="AM32" s="183"/>
      <c r="AN32" s="137"/>
      <c r="AO32" s="137"/>
      <c r="AP32" s="137"/>
      <c r="AQ32" s="137"/>
      <c r="AR32" s="137"/>
      <c r="AS32" s="137"/>
      <c r="AT32" s="137"/>
      <c r="AU32" s="137"/>
      <c r="AV32" s="136"/>
      <c r="AW32" s="156"/>
      <c r="AX32" s="156"/>
      <c r="AY32" s="156"/>
      <c r="AZ32" s="156"/>
      <c r="BA32" s="156"/>
      <c r="BB32" s="135"/>
      <c r="BC32" s="136"/>
      <c r="BD32" s="33"/>
      <c r="BE32" s="33"/>
      <c r="BF32" s="33"/>
      <c r="BG32" s="33"/>
    </row>
    <row r="33" spans="1:59" ht="15" hidden="1" customHeight="1" x14ac:dyDescent="0.25">
      <c r="A33" s="291" t="s">
        <v>478</v>
      </c>
      <c r="B33" s="236"/>
      <c r="C33" s="236"/>
      <c r="D33" s="236"/>
      <c r="E33" s="236"/>
      <c r="F33" s="236"/>
      <c r="G33" s="70" t="s">
        <v>390</v>
      </c>
      <c r="H33" s="66" t="s">
        <v>415</v>
      </c>
      <c r="I33" s="176">
        <f>$K$33</f>
        <v>365</v>
      </c>
      <c r="J33" s="60" t="str">
        <f t="shared" si="2"/>
        <v>C</v>
      </c>
      <c r="K33" s="179">
        <v>365</v>
      </c>
      <c r="L33" s="76" t="s">
        <v>419</v>
      </c>
      <c r="M33" s="237"/>
      <c r="N33" s="236"/>
      <c r="O33" s="269"/>
      <c r="P33" s="266"/>
      <c r="Q33" s="266"/>
      <c r="R33" s="133"/>
      <c r="S33" s="278"/>
      <c r="T33" s="266"/>
      <c r="U33" s="266"/>
      <c r="V33" s="266"/>
      <c r="W33" s="266"/>
      <c r="X33" s="266"/>
      <c r="Y33" s="266"/>
      <c r="Z33" s="266"/>
      <c r="AA33" s="270"/>
      <c r="AB33" s="217"/>
      <c r="AC33" s="65"/>
      <c r="AD33" s="64"/>
      <c r="AE33" s="63"/>
      <c r="AF33" s="218"/>
      <c r="AG33" s="265"/>
      <c r="AH33" s="274"/>
      <c r="AI33" s="236"/>
      <c r="AJ33" s="136"/>
      <c r="AK33" s="137"/>
      <c r="AL33" s="137"/>
      <c r="AM33" s="183"/>
      <c r="AN33" s="137"/>
      <c r="AO33" s="137"/>
      <c r="AP33" s="137"/>
      <c r="AQ33" s="137"/>
      <c r="AR33" s="137"/>
      <c r="AS33" s="137"/>
      <c r="AT33" s="137"/>
      <c r="AU33" s="137"/>
      <c r="AV33" s="136"/>
      <c r="AW33" s="156"/>
      <c r="AX33" s="156"/>
      <c r="AY33" s="156"/>
      <c r="AZ33" s="156"/>
      <c r="BA33" s="156"/>
      <c r="BB33" s="135"/>
      <c r="BC33" s="136"/>
      <c r="BD33" s="33"/>
      <c r="BE33" s="33"/>
      <c r="BF33" s="33"/>
      <c r="BG33" s="33"/>
    </row>
    <row r="34" spans="1:59" ht="15" hidden="1" customHeight="1" thickBot="1" x14ac:dyDescent="0.3">
      <c r="A34" s="291" t="s">
        <v>479</v>
      </c>
      <c r="B34" s="236"/>
      <c r="C34" s="236"/>
      <c r="D34" s="236"/>
      <c r="E34" s="236"/>
      <c r="F34" s="236"/>
      <c r="G34" s="71" t="s">
        <v>391</v>
      </c>
      <c r="H34" s="79" t="s">
        <v>415</v>
      </c>
      <c r="I34" s="177">
        <f>$K$34</f>
        <v>3000</v>
      </c>
      <c r="J34" s="72" t="str">
        <f t="shared" si="2"/>
        <v>C</v>
      </c>
      <c r="K34" s="180">
        <v>3000</v>
      </c>
      <c r="L34" s="77" t="s">
        <v>392</v>
      </c>
      <c r="M34" s="237"/>
      <c r="N34" s="236"/>
      <c r="O34" s="269"/>
      <c r="P34" s="266"/>
      <c r="Q34" s="266"/>
      <c r="R34" s="133"/>
      <c r="S34" s="278"/>
      <c r="T34" s="266"/>
      <c r="U34" s="266"/>
      <c r="V34" s="266"/>
      <c r="W34" s="266"/>
      <c r="X34" s="266"/>
      <c r="Y34" s="266"/>
      <c r="Z34" s="266"/>
      <c r="AA34" s="270"/>
      <c r="AB34" s="217"/>
      <c r="AC34" s="65"/>
      <c r="AD34" s="64"/>
      <c r="AE34" s="63"/>
      <c r="AF34" s="218"/>
      <c r="AG34" s="265"/>
      <c r="AH34" s="274"/>
      <c r="AI34" s="236"/>
      <c r="AJ34" s="136"/>
      <c r="AK34" s="137"/>
      <c r="AL34" s="137"/>
      <c r="AM34" s="183"/>
      <c r="AN34" s="137"/>
      <c r="AO34" s="137"/>
      <c r="AP34" s="137"/>
      <c r="AQ34" s="137"/>
      <c r="AR34" s="137"/>
      <c r="AS34" s="137"/>
      <c r="AT34" s="137"/>
      <c r="AU34" s="137"/>
      <c r="AV34" s="136"/>
      <c r="AW34" s="156"/>
      <c r="AX34" s="156"/>
      <c r="AY34" s="156"/>
      <c r="AZ34" s="156"/>
      <c r="BA34" s="156"/>
      <c r="BB34" s="135"/>
      <c r="BC34" s="136"/>
      <c r="BD34" s="33"/>
      <c r="BE34" s="33"/>
      <c r="BF34" s="33"/>
      <c r="BG34" s="33"/>
    </row>
    <row r="35" spans="1:59" ht="15" customHeight="1" thickBot="1" x14ac:dyDescent="0.35">
      <c r="A35" s="236"/>
      <c r="B35" s="236"/>
      <c r="C35" s="236"/>
      <c r="D35" s="236"/>
      <c r="E35" s="236"/>
      <c r="F35" s="236"/>
      <c r="G35" s="303"/>
      <c r="H35" s="237"/>
      <c r="I35" s="237"/>
      <c r="J35" s="237"/>
      <c r="K35" s="237"/>
      <c r="L35" s="237"/>
      <c r="M35" s="237"/>
      <c r="N35" s="256"/>
      <c r="O35" s="269"/>
      <c r="P35" s="266"/>
      <c r="Q35" s="266"/>
      <c r="R35" s="133" t="s">
        <v>177</v>
      </c>
      <c r="S35" s="278"/>
      <c r="T35" s="266"/>
      <c r="U35" s="266"/>
      <c r="V35" s="266"/>
      <c r="W35" s="266"/>
      <c r="X35" s="266"/>
      <c r="Y35" s="266"/>
      <c r="Z35" s="266"/>
      <c r="AA35" s="270"/>
      <c r="AB35" s="304" t="s">
        <v>502</v>
      </c>
      <c r="AC35" s="518" t="s">
        <v>396</v>
      </c>
      <c r="AD35" s="519"/>
      <c r="AE35" s="520" t="s">
        <v>397</v>
      </c>
      <c r="AF35" s="521"/>
      <c r="AG35" s="265"/>
      <c r="AH35" s="274"/>
      <c r="AI35" s="237"/>
      <c r="AJ35" s="136"/>
      <c r="AK35" s="137"/>
      <c r="AL35" s="137"/>
      <c r="AM35" s="137"/>
      <c r="AN35" s="137"/>
      <c r="AO35" s="137"/>
      <c r="AP35" s="137"/>
      <c r="AQ35" s="137"/>
      <c r="AR35" s="137"/>
      <c r="AS35" s="137"/>
      <c r="AT35" s="137"/>
      <c r="AU35" s="137"/>
      <c r="AV35" s="136"/>
      <c r="AW35" s="156"/>
      <c r="AX35" s="156"/>
      <c r="AY35" s="156"/>
      <c r="AZ35" s="156"/>
      <c r="BA35" s="156"/>
      <c r="BB35" s="135"/>
      <c r="BC35" s="136"/>
      <c r="BD35" s="33"/>
      <c r="BE35" s="33"/>
      <c r="BF35" s="33"/>
      <c r="BG35" s="33"/>
    </row>
    <row r="36" spans="1:59" ht="15" customHeight="1" thickBot="1" x14ac:dyDescent="0.3">
      <c r="A36" s="236"/>
      <c r="B36" s="236"/>
      <c r="C36" s="236"/>
      <c r="D36" s="236"/>
      <c r="E36" s="236"/>
      <c r="F36" s="236"/>
      <c r="G36" s="165" t="s">
        <v>339</v>
      </c>
      <c r="H36" s="61"/>
      <c r="I36" s="247"/>
      <c r="J36" s="247"/>
      <c r="K36" s="305"/>
      <c r="L36" s="255"/>
      <c r="M36" s="237"/>
      <c r="N36" s="237"/>
      <c r="O36" s="269"/>
      <c r="P36" s="266"/>
      <c r="Q36" s="266"/>
      <c r="R36" s="133" t="s">
        <v>175</v>
      </c>
      <c r="S36" s="298"/>
      <c r="T36" s="266"/>
      <c r="U36" s="266"/>
      <c r="V36" s="266"/>
      <c r="W36" s="266"/>
      <c r="X36" s="266"/>
      <c r="Y36" s="266"/>
      <c r="Z36" s="266"/>
      <c r="AA36" s="270"/>
      <c r="AB36" s="304" t="s">
        <v>66</v>
      </c>
      <c r="AC36" s="221">
        <f>'Alt-GPL Calc for VOCs'!$K$25</f>
        <v>1000</v>
      </c>
      <c r="AD36" s="306" t="s">
        <v>392</v>
      </c>
      <c r="AE36" s="221">
        <f>AC36/2.54/12</f>
        <v>32.808398950131235</v>
      </c>
      <c r="AF36" s="307" t="s">
        <v>394</v>
      </c>
      <c r="AG36" s="265"/>
      <c r="AH36" s="274"/>
      <c r="AI36" s="237"/>
      <c r="AJ36" s="135"/>
      <c r="AK36" s="145"/>
      <c r="AL36" s="145"/>
      <c r="AM36" s="145"/>
      <c r="AN36" s="145"/>
      <c r="AO36" s="145"/>
      <c r="AP36" s="145"/>
      <c r="AQ36" s="145"/>
      <c r="AR36" s="145"/>
      <c r="AS36" s="145"/>
      <c r="AT36" s="145"/>
      <c r="AU36" s="145"/>
      <c r="AV36" s="136"/>
      <c r="AW36" s="156"/>
      <c r="AX36" s="156"/>
      <c r="AY36" s="156"/>
      <c r="AZ36" s="156"/>
      <c r="BA36" s="156"/>
      <c r="BB36" s="135"/>
      <c r="BC36" s="135"/>
      <c r="BD36" s="33"/>
      <c r="BE36" s="33"/>
      <c r="BF36" s="33"/>
      <c r="BG36" s="33"/>
    </row>
    <row r="37" spans="1:59" ht="15" customHeight="1" x14ac:dyDescent="0.3">
      <c r="A37" s="236"/>
      <c r="B37" s="236"/>
      <c r="C37" s="236"/>
      <c r="D37" s="236"/>
      <c r="E37" s="236"/>
      <c r="F37" s="236"/>
      <c r="G37" s="505" t="s">
        <v>420</v>
      </c>
      <c r="H37" s="506"/>
      <c r="I37" s="506"/>
      <c r="J37" s="506"/>
      <c r="K37" s="506"/>
      <c r="L37" s="507"/>
      <c r="M37" s="236"/>
      <c r="N37" s="237"/>
      <c r="O37" s="269"/>
      <c r="P37" s="266"/>
      <c r="Q37" s="266"/>
      <c r="R37" s="134" t="s">
        <v>175</v>
      </c>
      <c r="S37" s="266"/>
      <c r="T37" s="266"/>
      <c r="U37" s="266"/>
      <c r="V37" s="266"/>
      <c r="W37" s="266"/>
      <c r="X37" s="266"/>
      <c r="Y37" s="266"/>
      <c r="Z37" s="266"/>
      <c r="AA37" s="270"/>
      <c r="AB37" s="304" t="s">
        <v>149</v>
      </c>
      <c r="AC37" s="222">
        <f>'Alt-GPL Calc for VOCs'!$K$26</f>
        <v>1000</v>
      </c>
      <c r="AD37" s="306" t="s">
        <v>392</v>
      </c>
      <c r="AE37" s="222">
        <f>AC37/2.54/12</f>
        <v>32.808398950131235</v>
      </c>
      <c r="AF37" s="307" t="s">
        <v>394</v>
      </c>
      <c r="AG37" s="265"/>
      <c r="AH37" s="274"/>
      <c r="AI37" s="265"/>
      <c r="AJ37" s="135"/>
      <c r="AK37" s="145"/>
      <c r="AL37" s="145"/>
      <c r="AM37" s="145"/>
      <c r="AN37" s="145"/>
      <c r="AO37" s="145"/>
      <c r="AP37" s="145"/>
      <c r="AQ37" s="145"/>
      <c r="AR37" s="145"/>
      <c r="AS37" s="146"/>
      <c r="AT37" s="145"/>
      <c r="AU37" s="145"/>
      <c r="AV37" s="136"/>
      <c r="AW37" s="136"/>
      <c r="AX37" s="136"/>
      <c r="AY37" s="136"/>
      <c r="AZ37" s="136"/>
      <c r="BA37" s="136"/>
      <c r="BB37" s="135"/>
      <c r="BC37" s="135"/>
      <c r="BD37" s="33"/>
      <c r="BE37" s="33"/>
      <c r="BF37" s="33"/>
      <c r="BG37" s="33"/>
    </row>
    <row r="38" spans="1:59" ht="15" customHeight="1" x14ac:dyDescent="0.25">
      <c r="A38" s="236"/>
      <c r="B38" s="236"/>
      <c r="C38" s="236"/>
      <c r="D38" s="236"/>
      <c r="E38" s="236"/>
      <c r="F38" s="236"/>
      <c r="G38" s="508" t="s">
        <v>338</v>
      </c>
      <c r="H38" s="509"/>
      <c r="I38" s="509"/>
      <c r="J38" s="509"/>
      <c r="K38" s="509"/>
      <c r="L38" s="510"/>
      <c r="M38" s="236"/>
      <c r="N38" s="237"/>
      <c r="O38" s="269"/>
      <c r="P38" s="266"/>
      <c r="Q38" s="266"/>
      <c r="R38" s="134" t="s">
        <v>178</v>
      </c>
      <c r="S38" s="266"/>
      <c r="T38" s="266"/>
      <c r="U38" s="266"/>
      <c r="V38" s="266"/>
      <c r="W38" s="266"/>
      <c r="X38" s="266"/>
      <c r="Y38" s="266"/>
      <c r="Z38" s="266"/>
      <c r="AA38" s="270"/>
      <c r="AB38" s="304" t="s">
        <v>164</v>
      </c>
      <c r="AC38" s="223">
        <f>'Alt-GPL Calc for VOCs'!$I$27</f>
        <v>30.5</v>
      </c>
      <c r="AD38" s="306" t="s">
        <v>393</v>
      </c>
      <c r="AE38" s="223">
        <f>AC38*100/2.54/12</f>
        <v>100.06561679790026</v>
      </c>
      <c r="AF38" s="307" t="s">
        <v>394</v>
      </c>
      <c r="AG38" s="265"/>
      <c r="AH38" s="274"/>
      <c r="AI38" s="270"/>
      <c r="AJ38" s="135"/>
      <c r="AK38" s="145"/>
      <c r="AL38" s="145"/>
      <c r="AM38" s="145"/>
      <c r="AN38" s="145"/>
      <c r="AO38" s="145"/>
      <c r="AP38" s="145"/>
      <c r="AQ38" s="145"/>
      <c r="AR38" s="145"/>
      <c r="AS38" s="145"/>
      <c r="AT38" s="145"/>
      <c r="AU38" s="145"/>
      <c r="AV38" s="498"/>
      <c r="AW38" s="499"/>
      <c r="AX38" s="499"/>
      <c r="AY38" s="499"/>
      <c r="AZ38" s="499"/>
      <c r="BA38" s="499"/>
      <c r="BB38" s="135"/>
      <c r="BC38" s="135"/>
      <c r="BD38" s="33"/>
      <c r="BE38" s="33"/>
      <c r="BF38" s="33"/>
      <c r="BG38" s="33"/>
    </row>
    <row r="39" spans="1:59" ht="15" customHeight="1" x14ac:dyDescent="0.25">
      <c r="A39" s="236"/>
      <c r="B39" s="236"/>
      <c r="C39" s="236"/>
      <c r="D39" s="236"/>
      <c r="E39" s="236"/>
      <c r="F39" s="236"/>
      <c r="G39" s="502" t="s">
        <v>442</v>
      </c>
      <c r="H39" s="503"/>
      <c r="I39" s="503"/>
      <c r="J39" s="503"/>
      <c r="K39" s="503"/>
      <c r="L39" s="504"/>
      <c r="M39" s="236"/>
      <c r="N39" s="237"/>
      <c r="O39" s="269"/>
      <c r="P39" s="266"/>
      <c r="Q39" s="266"/>
      <c r="R39" s="52"/>
      <c r="S39" s="266"/>
      <c r="T39" s="266"/>
      <c r="U39" s="266"/>
      <c r="V39" s="266"/>
      <c r="W39" s="266"/>
      <c r="X39" s="266"/>
      <c r="Y39" s="266"/>
      <c r="Z39" s="266"/>
      <c r="AA39" s="270"/>
      <c r="AB39" s="304" t="s">
        <v>165</v>
      </c>
      <c r="AC39" s="224">
        <f>'Alt-GPL Calc for VOCs'!$I$28</f>
        <v>10</v>
      </c>
      <c r="AD39" s="306" t="s">
        <v>393</v>
      </c>
      <c r="AE39" s="224">
        <f>AC39*100/2.54/12</f>
        <v>32.808398950131235</v>
      </c>
      <c r="AF39" s="307" t="s">
        <v>394</v>
      </c>
      <c r="AG39" s="265"/>
      <c r="AH39" s="274"/>
      <c r="AI39" s="270"/>
      <c r="AJ39" s="135"/>
      <c r="AK39" s="145"/>
      <c r="AL39" s="145"/>
      <c r="AM39" s="145"/>
      <c r="AN39" s="145"/>
      <c r="AO39" s="145"/>
      <c r="AP39" s="145"/>
      <c r="AQ39" s="145"/>
      <c r="AR39" s="145"/>
      <c r="AS39" s="145"/>
      <c r="AT39" s="145"/>
      <c r="AU39" s="145"/>
      <c r="AV39" s="136"/>
      <c r="AW39" s="142"/>
      <c r="AX39" s="142"/>
      <c r="AY39" s="142"/>
      <c r="AZ39" s="142"/>
      <c r="BA39" s="158"/>
      <c r="BB39" s="145"/>
      <c r="BC39" s="135"/>
      <c r="BD39" s="33"/>
      <c r="BE39" s="33"/>
      <c r="BF39" s="33"/>
      <c r="BG39" s="33"/>
    </row>
    <row r="40" spans="1:59" ht="15" customHeight="1" thickBot="1" x14ac:dyDescent="0.3">
      <c r="A40" s="236"/>
      <c r="B40" s="236"/>
      <c r="C40" s="236"/>
      <c r="D40" s="236"/>
      <c r="E40" s="236"/>
      <c r="F40" s="236"/>
      <c r="G40" s="502"/>
      <c r="H40" s="503"/>
      <c r="I40" s="503"/>
      <c r="J40" s="503"/>
      <c r="K40" s="503"/>
      <c r="L40" s="504"/>
      <c r="M40" s="236"/>
      <c r="N40" s="237"/>
      <c r="O40" s="264"/>
      <c r="P40" s="308"/>
      <c r="Q40" s="308"/>
      <c r="R40" s="15"/>
      <c r="S40" s="308"/>
      <c r="T40" s="308"/>
      <c r="U40" s="308"/>
      <c r="V40" s="308"/>
      <c r="W40" s="308"/>
      <c r="X40" s="308"/>
      <c r="Y40" s="308"/>
      <c r="Z40" s="308"/>
      <c r="AA40" s="270"/>
      <c r="AB40" s="309" t="s">
        <v>169</v>
      </c>
      <c r="AC40" s="225">
        <f>'Alt-GPL Calc for VOCs'!$I$29</f>
        <v>8.1999999999999993</v>
      </c>
      <c r="AD40" s="310" t="s">
        <v>393</v>
      </c>
      <c r="AE40" s="225">
        <f>AC40*100/2.54/12</f>
        <v>26.902887139107605</v>
      </c>
      <c r="AF40" s="311" t="s">
        <v>394</v>
      </c>
      <c r="AG40" s="265"/>
      <c r="AH40" s="267"/>
      <c r="AI40" s="236"/>
      <c r="AJ40" s="33"/>
      <c r="AK40" s="33"/>
      <c r="AL40" s="33"/>
      <c r="AM40" s="33"/>
      <c r="AN40" s="33"/>
      <c r="AO40" s="33"/>
      <c r="AP40" s="33"/>
      <c r="AQ40" s="33"/>
      <c r="AR40" s="33"/>
      <c r="AS40" s="33"/>
      <c r="AT40" s="33"/>
      <c r="AU40" s="33"/>
      <c r="AV40" s="159"/>
      <c r="AW40" s="160"/>
      <c r="AX40" s="161"/>
      <c r="AY40" s="156"/>
      <c r="AZ40" s="162"/>
      <c r="BA40" s="163"/>
      <c r="BB40" s="135"/>
      <c r="BC40" s="33"/>
      <c r="BD40" s="33"/>
      <c r="BE40" s="33"/>
      <c r="BF40" s="33"/>
      <c r="BG40" s="33"/>
    </row>
    <row r="41" spans="1:59" ht="15" customHeight="1" thickBot="1" x14ac:dyDescent="0.3">
      <c r="A41" s="236"/>
      <c r="B41" s="236"/>
      <c r="C41" s="236"/>
      <c r="D41" s="236"/>
      <c r="E41" s="236"/>
      <c r="F41" s="236"/>
      <c r="G41" s="502"/>
      <c r="H41" s="503"/>
      <c r="I41" s="503"/>
      <c r="J41" s="503"/>
      <c r="K41" s="503"/>
      <c r="L41" s="504"/>
      <c r="M41" s="236"/>
      <c r="N41" s="237"/>
      <c r="O41" s="264"/>
      <c r="P41" s="308"/>
      <c r="Q41" s="308"/>
      <c r="R41" s="15"/>
      <c r="S41" s="308"/>
      <c r="T41" s="308"/>
      <c r="U41" s="308" t="s">
        <v>171</v>
      </c>
      <c r="V41" s="308"/>
      <c r="W41" s="308"/>
      <c r="X41" s="236"/>
      <c r="Y41" s="308"/>
      <c r="Z41" s="308"/>
      <c r="AA41" s="270"/>
      <c r="AB41" s="270"/>
      <c r="AC41" s="270"/>
      <c r="AD41" s="270"/>
      <c r="AE41" s="270"/>
      <c r="AF41" s="270"/>
      <c r="AG41" s="265"/>
      <c r="AH41" s="267"/>
      <c r="AI41" s="236"/>
      <c r="AJ41" s="33"/>
      <c r="AK41" s="33"/>
      <c r="AL41" s="33"/>
      <c r="AM41" s="33"/>
      <c r="AN41" s="33"/>
      <c r="AO41" s="33"/>
      <c r="AP41" s="33"/>
      <c r="AQ41" s="33"/>
      <c r="AR41" s="33"/>
      <c r="AS41" s="33"/>
      <c r="AT41" s="33"/>
      <c r="AU41" s="33"/>
      <c r="AV41" s="159"/>
      <c r="AW41" s="160"/>
      <c r="AX41" s="161"/>
      <c r="AY41" s="156"/>
      <c r="AZ41" s="154"/>
      <c r="BA41" s="164"/>
      <c r="BB41" s="135"/>
      <c r="BC41" s="33"/>
      <c r="BD41" s="33"/>
      <c r="BE41" s="33"/>
      <c r="BF41" s="33"/>
      <c r="BG41" s="33"/>
    </row>
    <row r="42" spans="1:59" ht="15" customHeight="1" thickBot="1" x14ac:dyDescent="0.3">
      <c r="A42" s="236"/>
      <c r="B42" s="236"/>
      <c r="C42" s="236"/>
      <c r="D42" s="312"/>
      <c r="E42" s="313"/>
      <c r="F42" s="236"/>
      <c r="G42" s="511" t="s">
        <v>453</v>
      </c>
      <c r="H42" s="512"/>
      <c r="I42" s="512"/>
      <c r="J42" s="512"/>
      <c r="K42" s="512"/>
      <c r="L42" s="513"/>
      <c r="M42" s="236"/>
      <c r="N42" s="237"/>
      <c r="O42" s="264"/>
      <c r="P42" s="308"/>
      <c r="Q42" s="308"/>
      <c r="R42" s="15"/>
      <c r="S42" s="308"/>
      <c r="T42" s="308"/>
      <c r="U42" s="308"/>
      <c r="V42" s="308"/>
      <c r="W42" s="308"/>
      <c r="X42" s="308"/>
      <c r="Y42" s="308"/>
      <c r="Z42" s="527" t="s">
        <v>498</v>
      </c>
      <c r="AA42" s="528"/>
      <c r="AB42" s="528"/>
      <c r="AC42" s="528"/>
      <c r="AD42" s="528"/>
      <c r="AE42" s="528"/>
      <c r="AF42" s="529"/>
      <c r="AG42" s="265"/>
      <c r="AH42" s="267"/>
      <c r="AI42" s="236"/>
      <c r="AJ42" s="33"/>
      <c r="AK42" s="33"/>
      <c r="AL42" s="135"/>
      <c r="AM42" s="33"/>
      <c r="AN42" s="33"/>
      <c r="AO42" s="33"/>
      <c r="AP42" s="33"/>
      <c r="AQ42" s="33"/>
      <c r="AR42" s="33"/>
      <c r="AS42" s="33"/>
      <c r="AT42" s="33"/>
      <c r="AU42" s="33"/>
      <c r="AV42" s="33"/>
      <c r="AW42" s="33"/>
      <c r="AX42" s="33"/>
      <c r="AY42" s="33"/>
      <c r="AZ42" s="33"/>
      <c r="BA42" s="33"/>
      <c r="BB42" s="33"/>
      <c r="BC42" s="33"/>
      <c r="BD42" s="33"/>
      <c r="BE42" s="33"/>
      <c r="BF42" s="33"/>
      <c r="BG42" s="33"/>
    </row>
    <row r="43" spans="1:59" ht="15" customHeight="1" thickTop="1" thickBot="1" x14ac:dyDescent="0.35">
      <c r="A43" s="236"/>
      <c r="B43" s="236"/>
      <c r="C43" s="236"/>
      <c r="D43" s="236"/>
      <c r="E43" s="236"/>
      <c r="F43" s="236"/>
      <c r="G43" s="511"/>
      <c r="H43" s="512"/>
      <c r="I43" s="512"/>
      <c r="J43" s="512"/>
      <c r="K43" s="512"/>
      <c r="L43" s="513"/>
      <c r="M43" s="236"/>
      <c r="N43" s="314"/>
      <c r="O43" s="264"/>
      <c r="P43" s="308"/>
      <c r="Q43" s="308"/>
      <c r="R43" s="14"/>
      <c r="S43" s="308"/>
      <c r="T43" s="308"/>
      <c r="U43" s="308"/>
      <c r="V43" s="308"/>
      <c r="W43" s="308"/>
      <c r="X43" s="308"/>
      <c r="Y43" s="308"/>
      <c r="Z43" s="525" t="s">
        <v>502</v>
      </c>
      <c r="AA43" s="526"/>
      <c r="AB43" s="57" t="s">
        <v>388</v>
      </c>
      <c r="AC43" s="57" t="s">
        <v>382</v>
      </c>
      <c r="AD43" s="57" t="s">
        <v>412</v>
      </c>
      <c r="AE43" s="57" t="s">
        <v>417</v>
      </c>
      <c r="AF43" s="219" t="s">
        <v>392</v>
      </c>
      <c r="AG43" s="308"/>
      <c r="AH43" s="267"/>
      <c r="AI43" s="236"/>
      <c r="AJ43" s="33"/>
      <c r="AK43" s="33"/>
      <c r="AL43" s="135"/>
      <c r="AM43" s="33"/>
      <c r="AN43" s="33"/>
      <c r="AO43" s="33"/>
      <c r="AP43" s="33"/>
      <c r="AQ43" s="33"/>
      <c r="AR43" s="33"/>
      <c r="AS43" s="33"/>
      <c r="AT43" s="33"/>
      <c r="AU43" s="33"/>
      <c r="AV43" s="33"/>
      <c r="AW43" s="33"/>
      <c r="AX43" s="33"/>
      <c r="AY43" s="33"/>
      <c r="AZ43" s="33"/>
      <c r="BA43" s="33"/>
      <c r="BB43" s="33"/>
      <c r="BC43" s="33"/>
      <c r="BD43" s="33"/>
      <c r="BE43" s="33"/>
      <c r="BF43" s="33"/>
      <c r="BG43" s="33"/>
    </row>
    <row r="44" spans="1:59" ht="15" customHeight="1" x14ac:dyDescent="0.35">
      <c r="A44" s="236"/>
      <c r="B44" s="236"/>
      <c r="C44" s="236"/>
      <c r="D44" s="236"/>
      <c r="E44" s="236"/>
      <c r="F44" s="236"/>
      <c r="G44" s="315"/>
      <c r="H44" s="315"/>
      <c r="I44" s="315"/>
      <c r="J44" s="315"/>
      <c r="K44" s="315"/>
      <c r="L44" s="315"/>
      <c r="M44" s="236"/>
      <c r="N44" s="316"/>
      <c r="O44" s="259"/>
      <c r="P44" s="237"/>
      <c r="Q44" s="237"/>
      <c r="R44" s="237"/>
      <c r="S44" s="237"/>
      <c r="T44" s="237"/>
      <c r="U44" s="237"/>
      <c r="V44" s="237"/>
      <c r="W44" s="237"/>
      <c r="X44" s="237"/>
      <c r="Y44" s="237"/>
      <c r="Z44" s="516" t="s">
        <v>413</v>
      </c>
      <c r="AA44" s="517"/>
      <c r="AB44" s="208">
        <f>'Alt-GPL Calc for VOCs'!$I$24</f>
        <v>7.0000000000000001E-3</v>
      </c>
      <c r="AC44" s="56">
        <f>'Alt-GPL Calc for VOCs'!$I$16</f>
        <v>0.5</v>
      </c>
      <c r="AD44" s="31">
        <f>100/I30</f>
        <v>10</v>
      </c>
      <c r="AE44" s="226" t="s">
        <v>496</v>
      </c>
      <c r="AF44" s="228">
        <f>AB44*AD44/AC44</f>
        <v>0.14000000000000001</v>
      </c>
      <c r="AG44" s="265"/>
      <c r="AH44" s="260"/>
      <c r="AI44" s="236"/>
      <c r="AJ44" s="33"/>
      <c r="AK44" s="33"/>
      <c r="AL44" s="135"/>
      <c r="AM44" s="33"/>
      <c r="AN44" s="33"/>
      <c r="AO44" s="33"/>
      <c r="AP44" s="33"/>
      <c r="AQ44" s="33"/>
      <c r="AR44" s="33"/>
      <c r="AS44" s="33"/>
      <c r="AT44" s="33"/>
      <c r="AU44" s="33"/>
      <c r="AV44" s="33"/>
      <c r="AW44" s="33"/>
      <c r="AX44" s="33"/>
      <c r="AY44" s="33"/>
      <c r="AZ44" s="33"/>
      <c r="BA44" s="33"/>
      <c r="BB44" s="33"/>
      <c r="BC44" s="33"/>
      <c r="BD44" s="33"/>
      <c r="BE44" s="33"/>
      <c r="BF44" s="33"/>
      <c r="BG44" s="33"/>
    </row>
    <row r="45" spans="1:59" ht="15" customHeight="1" thickBot="1" x14ac:dyDescent="0.4">
      <c r="A45" s="236"/>
      <c r="B45" s="236"/>
      <c r="C45" s="236"/>
      <c r="D45" s="236"/>
      <c r="E45" s="236"/>
      <c r="F45" s="236"/>
      <c r="G45" s="251"/>
      <c r="H45" s="251"/>
      <c r="I45" s="251"/>
      <c r="J45" s="251"/>
      <c r="K45" s="251"/>
      <c r="L45" s="251"/>
      <c r="M45" s="236"/>
      <c r="N45" s="314"/>
      <c r="O45" s="317"/>
      <c r="P45" s="318"/>
      <c r="Q45" s="318"/>
      <c r="R45" s="318"/>
      <c r="S45" s="318"/>
      <c r="T45" s="318"/>
      <c r="U45" s="318"/>
      <c r="V45" s="318"/>
      <c r="W45" s="318"/>
      <c r="X45" s="318"/>
      <c r="Y45" s="318"/>
      <c r="Z45" s="514" t="s">
        <v>398</v>
      </c>
      <c r="AA45" s="515"/>
      <c r="AB45" s="209">
        <f>'Alt-GPL Calc for VOCs'!$I$31</f>
        <v>7.0000000000000001E-3</v>
      </c>
      <c r="AC45" s="131">
        <f>'Alt-GPL Calc for VOCs'!$I$16</f>
        <v>0.5</v>
      </c>
      <c r="AD45" s="132">
        <f>AD44</f>
        <v>10</v>
      </c>
      <c r="AE45" s="227" t="s">
        <v>497</v>
      </c>
      <c r="AF45" s="220">
        <f>(AB44*AC39*AD44/AC44)+(AB45*AD45*AC38/AC45)</f>
        <v>5.6700000000000008</v>
      </c>
      <c r="AG45" s="319" t="s">
        <v>399</v>
      </c>
      <c r="AH45" s="320"/>
      <c r="AI45" s="236"/>
      <c r="AJ45" s="33"/>
      <c r="AK45" s="33"/>
      <c r="AL45" s="135"/>
      <c r="AM45" s="33"/>
      <c r="AN45" s="33"/>
      <c r="AO45" s="33"/>
      <c r="AP45" s="33"/>
      <c r="AQ45" s="33"/>
      <c r="AR45" s="33"/>
      <c r="AS45" s="33"/>
      <c r="AT45" s="33"/>
      <c r="AU45" s="33"/>
      <c r="AV45" s="33"/>
      <c r="AW45" s="33"/>
      <c r="AX45" s="33"/>
      <c r="AY45" s="33"/>
      <c r="AZ45" s="33"/>
      <c r="BA45" s="33"/>
      <c r="BB45" s="33"/>
      <c r="BC45" s="33"/>
      <c r="BD45" s="33"/>
      <c r="BE45" s="33"/>
      <c r="BF45" s="33"/>
      <c r="BG45" s="33"/>
    </row>
    <row r="46" spans="1:59" ht="15" customHeight="1" x14ac:dyDescent="0.25">
      <c r="A46" s="236"/>
      <c r="B46" s="236"/>
      <c r="C46" s="236"/>
      <c r="D46" s="236"/>
      <c r="E46" s="236"/>
      <c r="F46" s="236"/>
      <c r="G46" s="236"/>
      <c r="H46" s="236"/>
      <c r="I46" s="236"/>
      <c r="J46" s="236"/>
      <c r="K46" s="236"/>
      <c r="L46" s="236"/>
      <c r="M46" s="236"/>
      <c r="N46" s="321"/>
      <c r="O46" s="237"/>
      <c r="P46" s="266"/>
      <c r="Q46" s="266"/>
      <c r="R46" s="266"/>
      <c r="S46" s="266"/>
      <c r="T46" s="266"/>
      <c r="U46" s="266"/>
      <c r="V46" s="266"/>
      <c r="W46" s="266"/>
      <c r="X46" s="266"/>
      <c r="Y46" s="266"/>
      <c r="Z46" s="266"/>
      <c r="AA46" s="237"/>
      <c r="AB46" s="266"/>
      <c r="AC46" s="266"/>
      <c r="AD46" s="266"/>
      <c r="AE46" s="237"/>
      <c r="AF46" s="237"/>
      <c r="AG46" s="237"/>
      <c r="AH46" s="237"/>
      <c r="AI46" s="236"/>
      <c r="AJ46" s="33"/>
      <c r="AK46" s="33"/>
      <c r="AL46" s="135"/>
      <c r="AM46" s="33"/>
      <c r="AN46" s="33"/>
      <c r="AO46" s="33"/>
      <c r="AP46" s="33"/>
      <c r="AQ46" s="33"/>
      <c r="AR46" s="33"/>
      <c r="AS46" s="33"/>
      <c r="AT46" s="33"/>
      <c r="AU46" s="33"/>
      <c r="AV46" s="33"/>
      <c r="AW46" s="33"/>
      <c r="AX46" s="33"/>
      <c r="AY46" s="33"/>
      <c r="AZ46" s="33"/>
      <c r="BA46" s="33"/>
      <c r="BB46" s="33"/>
      <c r="BC46" s="33"/>
      <c r="BD46" s="33"/>
      <c r="BE46" s="33"/>
      <c r="BF46" s="33"/>
      <c r="BG46" s="33"/>
    </row>
    <row r="47" spans="1:59" ht="15" customHeight="1" x14ac:dyDescent="0.3">
      <c r="A47" s="236"/>
      <c r="B47" s="236"/>
      <c r="C47" s="236"/>
      <c r="D47" s="241" t="s">
        <v>414</v>
      </c>
      <c r="E47" s="236"/>
      <c r="F47" s="236"/>
      <c r="G47" s="236"/>
      <c r="H47" s="236"/>
      <c r="I47" s="236"/>
      <c r="J47" s="236"/>
      <c r="K47" s="236"/>
      <c r="L47" s="236"/>
      <c r="M47" s="236"/>
      <c r="N47" s="237"/>
      <c r="O47" s="270"/>
      <c r="P47" s="266"/>
      <c r="Q47" s="266"/>
      <c r="R47" s="266"/>
      <c r="S47" s="266"/>
      <c r="T47" s="266"/>
      <c r="U47" s="266"/>
      <c r="V47" s="266"/>
      <c r="W47" s="266"/>
      <c r="X47" s="266"/>
      <c r="Y47" s="266"/>
      <c r="Z47" s="266"/>
      <c r="AA47" s="237"/>
      <c r="AB47" s="295"/>
      <c r="AC47" s="266"/>
      <c r="AD47" s="266"/>
      <c r="AE47" s="237"/>
      <c r="AF47" s="237"/>
      <c r="AG47" s="237"/>
      <c r="AH47" s="237"/>
      <c r="AI47" s="236"/>
      <c r="AK47" s="29"/>
      <c r="AL47" s="53"/>
      <c r="AM47" s="29"/>
    </row>
    <row r="48" spans="1:59" ht="15" customHeight="1" x14ac:dyDescent="0.3">
      <c r="A48" s="236"/>
      <c r="B48" s="236"/>
      <c r="C48" s="236"/>
      <c r="D48" s="322" t="str">
        <f>VLOOKUP(K$6,'Lookup Table'!A9:J79,1)</f>
        <v>Enter chemical properties</v>
      </c>
      <c r="E48" s="322"/>
      <c r="F48" s="236"/>
      <c r="G48" s="236"/>
      <c r="H48" s="236"/>
      <c r="I48" s="236"/>
      <c r="J48" s="236"/>
      <c r="K48" s="236"/>
      <c r="L48" s="236"/>
      <c r="M48" s="236"/>
      <c r="N48" s="237"/>
      <c r="O48" s="270"/>
      <c r="P48" s="266"/>
      <c r="Q48" s="266"/>
      <c r="R48" s="266"/>
      <c r="S48" s="266"/>
      <c r="T48" s="266"/>
      <c r="U48" s="266"/>
      <c r="V48" s="266"/>
      <c r="W48" s="266"/>
      <c r="X48" s="266"/>
      <c r="Y48" s="266"/>
      <c r="Z48" s="266"/>
      <c r="AA48" s="266"/>
      <c r="AB48" s="266"/>
      <c r="AC48" s="266"/>
      <c r="AD48" s="266"/>
      <c r="AE48" s="237"/>
      <c r="AF48" s="237"/>
      <c r="AG48" s="237"/>
      <c r="AH48" s="237"/>
      <c r="AI48" s="236"/>
      <c r="AK48" s="29"/>
      <c r="AL48" s="53"/>
      <c r="AM48" s="29"/>
    </row>
    <row r="49" spans="1:39" ht="15" customHeight="1" x14ac:dyDescent="0.25">
      <c r="A49" s="236"/>
      <c r="B49" s="236"/>
      <c r="C49" s="236"/>
      <c r="D49" s="236"/>
      <c r="E49" s="236"/>
      <c r="F49" s="236"/>
      <c r="G49" s="236"/>
      <c r="H49" s="236"/>
      <c r="I49" s="236"/>
      <c r="J49" s="236"/>
      <c r="K49" s="236"/>
      <c r="L49" s="236"/>
      <c r="M49" s="236"/>
      <c r="N49" s="237"/>
      <c r="O49" s="270"/>
      <c r="P49" s="270"/>
      <c r="Q49" s="266"/>
      <c r="R49" s="266"/>
      <c r="S49" s="266"/>
      <c r="T49" s="266"/>
      <c r="U49" s="266"/>
      <c r="V49" s="266"/>
      <c r="W49" s="266"/>
      <c r="X49" s="266"/>
      <c r="Y49" s="266"/>
      <c r="Z49" s="266"/>
      <c r="AA49" s="266"/>
      <c r="AB49" s="266"/>
      <c r="AC49" s="266"/>
      <c r="AD49" s="266"/>
      <c r="AE49" s="237"/>
      <c r="AF49" s="237"/>
      <c r="AG49" s="237"/>
      <c r="AH49" s="237"/>
      <c r="AI49" s="236"/>
      <c r="AK49" s="29"/>
      <c r="AL49" s="29"/>
      <c r="AM49" s="29"/>
    </row>
    <row r="50" spans="1:39" ht="15" customHeight="1" x14ac:dyDescent="0.35">
      <c r="A50" s="322"/>
      <c r="B50" s="322"/>
      <c r="C50" s="322"/>
      <c r="D50" s="500" t="s">
        <v>241</v>
      </c>
      <c r="E50" s="501"/>
      <c r="F50" s="323">
        <f>GPL!E90</f>
        <v>0.25486087065758301</v>
      </c>
      <c r="G50" s="324" t="str">
        <f>IF(F50&gt;F51,"WARNING: GPL exceeds saturation, discuss with specific ADEQ Program","")</f>
        <v/>
      </c>
      <c r="H50" s="236"/>
      <c r="I50" s="236"/>
      <c r="J50" s="236"/>
      <c r="K50" s="236"/>
      <c r="L50" s="236"/>
      <c r="M50" s="236"/>
      <c r="N50" s="237"/>
      <c r="O50" s="270"/>
      <c r="P50" s="270"/>
      <c r="Q50" s="266"/>
      <c r="R50" s="266"/>
      <c r="S50" s="266"/>
      <c r="T50" s="266"/>
      <c r="U50" s="266"/>
      <c r="V50" s="266"/>
      <c r="W50" s="266"/>
      <c r="X50" s="266"/>
      <c r="Y50" s="266"/>
      <c r="Z50" s="266"/>
      <c r="AA50" s="266"/>
      <c r="AB50" s="266"/>
      <c r="AC50" s="266"/>
      <c r="AD50" s="266"/>
      <c r="AE50" s="237"/>
      <c r="AF50" s="237"/>
      <c r="AG50" s="237"/>
      <c r="AH50" s="237"/>
      <c r="AI50" s="236"/>
      <c r="AK50" s="29"/>
      <c r="AL50" s="29"/>
      <c r="AM50" s="29"/>
    </row>
    <row r="51" spans="1:39" ht="15" customHeight="1" x14ac:dyDescent="0.3">
      <c r="A51" s="322"/>
      <c r="B51" s="322"/>
      <c r="C51" s="322"/>
      <c r="D51" s="530" t="s">
        <v>494</v>
      </c>
      <c r="E51" s="531"/>
      <c r="F51" s="323">
        <f>IntercalsJury1!M30</f>
        <v>0.33433333333333337</v>
      </c>
      <c r="G51" s="236"/>
      <c r="H51" s="236"/>
      <c r="I51" s="236"/>
      <c r="J51" s="236"/>
      <c r="K51" s="236"/>
      <c r="L51" s="236"/>
      <c r="M51" s="236"/>
      <c r="N51" s="237"/>
      <c r="O51" s="270"/>
      <c r="P51" s="266"/>
      <c r="Q51" s="266"/>
      <c r="R51" s="266"/>
      <c r="S51" s="266"/>
      <c r="T51" s="266"/>
      <c r="U51" s="266"/>
      <c r="V51" s="266"/>
      <c r="W51" s="266"/>
      <c r="X51" s="266"/>
      <c r="Y51" s="266"/>
      <c r="Z51" s="266"/>
      <c r="AA51" s="266"/>
      <c r="AB51" s="266"/>
      <c r="AC51" s="266"/>
      <c r="AD51" s="266"/>
      <c r="AE51" s="237"/>
      <c r="AF51" s="237"/>
      <c r="AG51" s="237"/>
      <c r="AH51" s="237"/>
      <c r="AI51" s="236"/>
      <c r="AK51" s="29"/>
      <c r="AL51" s="29"/>
      <c r="AM51" s="29"/>
    </row>
    <row r="52" spans="1:39" ht="15" customHeight="1" x14ac:dyDescent="0.3">
      <c r="A52" s="322"/>
      <c r="B52" s="322"/>
      <c r="C52" s="322"/>
      <c r="D52" s="322" t="str">
        <f>IF(VLOOKUP(K$6,'Lookup Table'!A8:J79,5) = 0, "GPL based upon risk based water quality standard", "GPL based upon Aquifer Water Quality Standard")</f>
        <v>GPL based upon risk based water quality standard</v>
      </c>
      <c r="E52" s="325"/>
      <c r="F52" s="325"/>
      <c r="G52" s="236"/>
      <c r="H52" s="236"/>
      <c r="I52" s="236"/>
      <c r="J52" s="236"/>
      <c r="K52" s="236"/>
      <c r="L52" s="236"/>
      <c r="M52" s="236"/>
      <c r="N52" s="237"/>
      <c r="O52" s="270"/>
      <c r="P52" s="266"/>
      <c r="Q52" s="266"/>
      <c r="R52" s="266"/>
      <c r="S52" s="299"/>
      <c r="T52" s="266"/>
      <c r="U52" s="266"/>
      <c r="V52" s="266"/>
      <c r="W52" s="266"/>
      <c r="X52" s="266"/>
      <c r="Y52" s="266"/>
      <c r="Z52" s="266"/>
      <c r="AA52" s="266"/>
      <c r="AB52" s="266"/>
      <c r="AC52" s="266"/>
      <c r="AD52" s="266"/>
      <c r="AE52" s="237"/>
      <c r="AF52" s="237"/>
      <c r="AG52" s="237"/>
      <c r="AH52" s="237"/>
      <c r="AI52" s="236"/>
      <c r="AK52" s="29"/>
      <c r="AL52" s="29"/>
      <c r="AM52" s="29"/>
    </row>
    <row r="53" spans="1:39" ht="15" customHeight="1" x14ac:dyDescent="0.3">
      <c r="A53" s="322"/>
      <c r="B53" s="322"/>
      <c r="C53" s="322"/>
      <c r="D53" s="236"/>
      <c r="E53" s="325"/>
      <c r="F53" s="325"/>
      <c r="G53" s="236"/>
      <c r="H53" s="236"/>
      <c r="I53" s="236"/>
      <c r="J53" s="236"/>
      <c r="K53" s="236"/>
      <c r="L53" s="236"/>
      <c r="M53" s="236"/>
      <c r="N53" s="237"/>
      <c r="O53" s="270"/>
      <c r="P53" s="266"/>
      <c r="Q53" s="266"/>
      <c r="R53" s="277"/>
      <c r="S53" s="266"/>
      <c r="T53" s="266"/>
      <c r="U53" s="266"/>
      <c r="V53" s="266"/>
      <c r="W53" s="266"/>
      <c r="X53" s="266"/>
      <c r="Y53" s="266"/>
      <c r="Z53" s="266"/>
      <c r="AA53" s="266"/>
      <c r="AB53" s="271"/>
      <c r="AC53" s="237"/>
      <c r="AD53" s="266"/>
      <c r="AE53" s="270"/>
      <c r="AF53" s="270"/>
      <c r="AG53" s="270"/>
      <c r="AH53" s="270"/>
      <c r="AI53" s="270"/>
      <c r="AJ53" s="54"/>
      <c r="AK53" s="53"/>
      <c r="AL53" s="53"/>
      <c r="AM53" s="29"/>
    </row>
    <row r="54" spans="1:39" ht="15" x14ac:dyDescent="0.25">
      <c r="D54" s="25"/>
      <c r="E54" s="25"/>
      <c r="F54" s="25"/>
      <c r="G54" s="25"/>
      <c r="M54" s="23"/>
      <c r="N54" s="33"/>
      <c r="O54" s="136"/>
      <c r="P54" s="137"/>
      <c r="Q54" s="137"/>
      <c r="R54" s="155"/>
      <c r="S54" s="137"/>
      <c r="T54" s="137"/>
      <c r="U54" s="137"/>
      <c r="V54" s="137"/>
      <c r="W54" s="137"/>
      <c r="X54" s="137"/>
      <c r="Y54" s="137"/>
      <c r="Z54" s="137"/>
      <c r="AA54" s="137"/>
      <c r="AB54" s="137"/>
      <c r="AC54" s="137"/>
      <c r="AD54" s="137"/>
      <c r="AE54" s="136"/>
      <c r="AF54" s="136"/>
      <c r="AG54" s="136"/>
      <c r="AH54" s="136"/>
      <c r="AI54" s="54"/>
      <c r="AJ54" s="54"/>
      <c r="AK54" s="53"/>
      <c r="AL54" s="53"/>
      <c r="AM54" s="29"/>
    </row>
    <row r="55" spans="1:39" ht="15" x14ac:dyDescent="0.25">
      <c r="A55" s="33"/>
      <c r="B55" s="33"/>
      <c r="C55" s="33"/>
      <c r="D55" s="33"/>
      <c r="E55" s="33"/>
      <c r="F55" s="33"/>
      <c r="G55" s="33"/>
      <c r="H55" s="33"/>
      <c r="I55" s="33"/>
      <c r="J55" s="33"/>
      <c r="K55" s="33"/>
      <c r="L55" s="33"/>
      <c r="M55" s="33"/>
      <c r="N55" s="33"/>
      <c r="O55" s="137"/>
      <c r="P55" s="33"/>
      <c r="Q55" s="142"/>
      <c r="R55" s="155"/>
      <c r="S55" s="137"/>
      <c r="T55" s="137"/>
      <c r="U55" s="137"/>
      <c r="V55" s="137"/>
      <c r="W55" s="137"/>
      <c r="X55" s="137"/>
      <c r="Y55" s="137"/>
      <c r="Z55" s="137"/>
      <c r="AA55" s="137"/>
      <c r="AB55" s="137"/>
      <c r="AC55" s="137"/>
      <c r="AD55" s="137"/>
      <c r="AE55" s="136"/>
      <c r="AF55" s="136"/>
      <c r="AG55" s="136"/>
      <c r="AH55" s="136"/>
      <c r="AI55" s="54"/>
      <c r="AJ55" s="54"/>
      <c r="AK55" s="53"/>
      <c r="AL55" s="53"/>
      <c r="AM55" s="29"/>
    </row>
    <row r="56" spans="1:39" x14ac:dyDescent="0.25">
      <c r="A56" s="33"/>
      <c r="B56" s="33"/>
      <c r="C56" s="33"/>
      <c r="D56" s="33"/>
      <c r="E56" s="33"/>
      <c r="F56" s="33"/>
      <c r="G56" s="33"/>
      <c r="H56" s="33"/>
      <c r="I56" s="33"/>
      <c r="J56" s="33"/>
      <c r="K56" s="33"/>
      <c r="L56" s="33"/>
      <c r="M56" s="33"/>
      <c r="N56" s="33"/>
      <c r="O56" s="33"/>
      <c r="P56" s="33"/>
      <c r="Q56" s="33"/>
      <c r="R56" s="33"/>
      <c r="S56" s="33"/>
      <c r="T56" s="33"/>
      <c r="U56" s="137"/>
      <c r="V56" s="137"/>
      <c r="W56" s="137"/>
      <c r="X56" s="137"/>
      <c r="Y56" s="137"/>
      <c r="Z56" s="137"/>
      <c r="AA56" s="137"/>
      <c r="AB56" s="137"/>
      <c r="AC56" s="137"/>
      <c r="AD56" s="137"/>
      <c r="AE56" s="136"/>
      <c r="AF56" s="136"/>
      <c r="AG56" s="136"/>
      <c r="AH56" s="136"/>
      <c r="AI56" s="54"/>
      <c r="AJ56" s="54"/>
      <c r="AK56" s="53"/>
      <c r="AL56" s="53"/>
      <c r="AM56" s="29"/>
    </row>
    <row r="57" spans="1:39" ht="17.399999999999999" x14ac:dyDescent="0.3">
      <c r="A57" s="147"/>
      <c r="B57" s="33"/>
      <c r="C57" s="33"/>
      <c r="D57" s="33"/>
      <c r="E57" s="148"/>
      <c r="F57" s="33"/>
      <c r="G57" s="33"/>
      <c r="H57" s="33"/>
      <c r="I57" s="33"/>
      <c r="J57" s="33"/>
      <c r="K57" s="33"/>
      <c r="L57" s="33"/>
      <c r="M57" s="149"/>
      <c r="N57" s="33"/>
      <c r="O57" s="33"/>
      <c r="P57" s="33"/>
      <c r="Q57" s="33"/>
      <c r="R57" s="33"/>
      <c r="S57" s="33"/>
      <c r="T57" s="33"/>
      <c r="U57" s="137"/>
      <c r="V57" s="137"/>
      <c r="W57" s="137"/>
      <c r="X57" s="137"/>
      <c r="Y57" s="137"/>
      <c r="Z57" s="137"/>
      <c r="AA57" s="137"/>
      <c r="AB57" s="137"/>
      <c r="AC57" s="137"/>
      <c r="AD57" s="137"/>
      <c r="AE57" s="144"/>
      <c r="AF57" s="136"/>
      <c r="AG57" s="136"/>
      <c r="AH57" s="136"/>
      <c r="AI57" s="54"/>
      <c r="AJ57" s="54"/>
      <c r="AK57" s="53"/>
      <c r="AL57" s="53"/>
      <c r="AM57" s="29"/>
    </row>
    <row r="58" spans="1:39" x14ac:dyDescent="0.25">
      <c r="A58" s="33"/>
      <c r="B58" s="33"/>
      <c r="C58" s="33"/>
      <c r="D58" s="33"/>
      <c r="E58" s="33"/>
      <c r="F58" s="33"/>
      <c r="G58" s="33"/>
      <c r="H58" s="33"/>
      <c r="I58" s="33"/>
      <c r="J58" s="33"/>
      <c r="K58" s="33"/>
      <c r="L58" s="33"/>
      <c r="M58" s="33"/>
      <c r="N58" s="33"/>
      <c r="O58" s="33"/>
      <c r="P58" s="33"/>
      <c r="Q58" s="33"/>
      <c r="R58" s="33"/>
      <c r="S58" s="33"/>
      <c r="T58" s="33"/>
      <c r="U58" s="137"/>
      <c r="V58" s="137"/>
      <c r="W58" s="137"/>
      <c r="X58" s="137"/>
      <c r="Y58" s="137"/>
      <c r="Z58" s="137"/>
      <c r="AA58" s="137"/>
      <c r="AB58" s="137"/>
      <c r="AC58" s="137"/>
      <c r="AD58" s="137"/>
      <c r="AE58" s="136"/>
      <c r="AF58" s="136"/>
      <c r="AG58" s="136"/>
      <c r="AH58" s="136"/>
      <c r="AI58" s="54"/>
      <c r="AJ58" s="54"/>
      <c r="AK58" s="53"/>
      <c r="AL58" s="53"/>
      <c r="AM58" s="29"/>
    </row>
    <row r="59" spans="1:39" x14ac:dyDescent="0.25">
      <c r="A59" s="135"/>
      <c r="B59" s="135"/>
      <c r="C59" s="135"/>
      <c r="D59" s="135"/>
      <c r="E59" s="135"/>
      <c r="F59" s="135"/>
      <c r="G59" s="135"/>
      <c r="H59" s="135"/>
      <c r="I59" s="135"/>
      <c r="J59" s="135"/>
      <c r="K59" s="135"/>
      <c r="L59" s="135"/>
      <c r="M59" s="135"/>
      <c r="N59" s="135"/>
      <c r="O59" s="135"/>
      <c r="P59" s="135"/>
      <c r="Q59" s="135"/>
      <c r="R59" s="135"/>
      <c r="S59" s="135"/>
      <c r="T59" s="135"/>
      <c r="U59" s="137"/>
      <c r="V59" s="137"/>
      <c r="W59" s="137"/>
      <c r="X59" s="137"/>
      <c r="Y59" s="137"/>
      <c r="Z59" s="137"/>
      <c r="AA59" s="137"/>
      <c r="AB59" s="137"/>
      <c r="AC59" s="137"/>
      <c r="AD59" s="137"/>
      <c r="AE59" s="136"/>
      <c r="AF59" s="136"/>
      <c r="AG59" s="136"/>
      <c r="AH59" s="136"/>
      <c r="AI59" s="54"/>
      <c r="AJ59" s="54"/>
      <c r="AK59" s="53"/>
      <c r="AL59" s="53"/>
      <c r="AM59" s="29"/>
    </row>
    <row r="60" spans="1:39" x14ac:dyDescent="0.25">
      <c r="A60" s="136"/>
      <c r="B60" s="136"/>
      <c r="C60" s="136"/>
      <c r="D60" s="136"/>
      <c r="E60" s="136"/>
      <c r="F60" s="136"/>
      <c r="G60" s="136"/>
      <c r="H60" s="136"/>
      <c r="I60" s="136"/>
      <c r="J60" s="136"/>
      <c r="K60" s="136"/>
      <c r="L60" s="136"/>
      <c r="M60" s="136"/>
      <c r="N60" s="136"/>
      <c r="O60" s="136"/>
      <c r="P60" s="136"/>
      <c r="Q60" s="136"/>
      <c r="R60" s="136"/>
      <c r="S60" s="136"/>
      <c r="T60" s="136"/>
      <c r="U60" s="137"/>
      <c r="V60" s="137"/>
      <c r="W60" s="137"/>
      <c r="X60" s="137"/>
      <c r="Y60" s="137"/>
      <c r="Z60" s="137"/>
      <c r="AA60" s="136"/>
      <c r="AB60" s="33"/>
      <c r="AC60" s="156"/>
      <c r="AD60" s="157"/>
      <c r="AE60" s="156"/>
      <c r="AF60" s="33"/>
      <c r="AG60" s="135"/>
      <c r="AH60" s="136"/>
      <c r="AI60" s="54"/>
      <c r="AJ60" s="54"/>
      <c r="AK60" s="53"/>
      <c r="AL60" s="53"/>
      <c r="AM60" s="29"/>
    </row>
    <row r="61" spans="1:39" x14ac:dyDescent="0.25">
      <c r="A61" s="136"/>
      <c r="B61" s="137"/>
      <c r="C61" s="137"/>
      <c r="D61" s="137"/>
      <c r="E61" s="137"/>
      <c r="F61" s="137"/>
      <c r="G61" s="138"/>
      <c r="H61" s="62"/>
      <c r="I61" s="137"/>
      <c r="J61" s="137"/>
      <c r="K61" s="137"/>
      <c r="L61" s="139"/>
      <c r="M61" s="62"/>
      <c r="N61" s="137"/>
      <c r="O61" s="140"/>
      <c r="P61" s="62"/>
      <c r="Q61" s="141"/>
      <c r="R61" s="136"/>
      <c r="S61" s="136"/>
      <c r="T61" s="136"/>
      <c r="U61" s="137"/>
      <c r="V61" s="137"/>
      <c r="W61" s="137"/>
      <c r="X61" s="137"/>
      <c r="Y61" s="137"/>
      <c r="Z61" s="137"/>
      <c r="AA61" s="136"/>
      <c r="AB61" s="156"/>
      <c r="AC61" s="156"/>
      <c r="AD61" s="156"/>
      <c r="AE61" s="156"/>
      <c r="AF61" s="156"/>
      <c r="AG61" s="135"/>
      <c r="AH61" s="136"/>
      <c r="AI61" s="54"/>
      <c r="AJ61" s="54"/>
      <c r="AK61" s="53"/>
      <c r="AL61" s="53"/>
      <c r="AM61" s="29"/>
    </row>
    <row r="62" spans="1:39" x14ac:dyDescent="0.25">
      <c r="A62" s="136"/>
      <c r="B62" s="137"/>
      <c r="C62" s="137"/>
      <c r="D62" s="137"/>
      <c r="E62" s="137"/>
      <c r="F62" s="137"/>
      <c r="G62" s="137"/>
      <c r="H62" s="137"/>
      <c r="I62" s="137"/>
      <c r="J62" s="137"/>
      <c r="K62" s="137"/>
      <c r="L62" s="137"/>
      <c r="M62" s="137"/>
      <c r="N62" s="137"/>
      <c r="O62" s="137"/>
      <c r="P62" s="137"/>
      <c r="Q62" s="33"/>
      <c r="R62" s="33"/>
      <c r="S62" s="33"/>
      <c r="T62" s="33"/>
      <c r="U62" s="137"/>
      <c r="V62" s="137"/>
      <c r="W62" s="137"/>
      <c r="X62" s="137"/>
      <c r="Y62" s="137"/>
      <c r="Z62" s="137"/>
      <c r="AA62" s="136"/>
      <c r="AB62" s="156"/>
      <c r="AC62" s="142"/>
      <c r="AD62" s="156"/>
      <c r="AE62" s="140"/>
      <c r="AF62" s="156"/>
      <c r="AG62" s="135"/>
      <c r="AH62" s="136"/>
      <c r="AI62" s="54"/>
      <c r="AJ62" s="54"/>
      <c r="AK62" s="53"/>
      <c r="AL62" s="53"/>
      <c r="AM62" s="29"/>
    </row>
    <row r="63" spans="1:39" x14ac:dyDescent="0.25">
      <c r="A63" s="136"/>
      <c r="B63" s="137"/>
      <c r="C63" s="137"/>
      <c r="D63" s="137"/>
      <c r="E63" s="137"/>
      <c r="F63" s="137"/>
      <c r="G63" s="137"/>
      <c r="H63" s="137"/>
      <c r="I63" s="137"/>
      <c r="J63" s="150"/>
      <c r="K63" s="150"/>
      <c r="L63" s="150"/>
      <c r="M63" s="150"/>
      <c r="N63" s="150"/>
      <c r="O63" s="142"/>
      <c r="P63" s="33"/>
      <c r="Q63" s="33"/>
      <c r="R63" s="33"/>
      <c r="S63" s="33"/>
      <c r="T63" s="33"/>
      <c r="U63" s="137"/>
      <c r="V63" s="137"/>
      <c r="W63" s="137"/>
      <c r="X63" s="137"/>
      <c r="Y63" s="137"/>
      <c r="Z63" s="137"/>
      <c r="AA63" s="136"/>
      <c r="AB63" s="156"/>
      <c r="AC63" s="156"/>
      <c r="AD63" s="156"/>
      <c r="AE63" s="156"/>
      <c r="AF63" s="156"/>
      <c r="AG63" s="135"/>
      <c r="AH63" s="136"/>
      <c r="AI63" s="54"/>
      <c r="AJ63" s="54"/>
      <c r="AK63" s="53"/>
      <c r="AL63" s="53"/>
      <c r="AM63" s="29"/>
    </row>
    <row r="64" spans="1:39" x14ac:dyDescent="0.25">
      <c r="A64" s="136"/>
      <c r="B64" s="137"/>
      <c r="C64" s="137"/>
      <c r="D64" s="137"/>
      <c r="E64" s="137"/>
      <c r="F64" s="137"/>
      <c r="G64" s="137"/>
      <c r="H64" s="137"/>
      <c r="I64" s="137"/>
      <c r="J64" s="137"/>
      <c r="K64" s="137"/>
      <c r="L64" s="137"/>
      <c r="M64" s="137"/>
      <c r="N64" s="137"/>
      <c r="O64" s="143"/>
      <c r="P64" s="137"/>
      <c r="Q64" s="33"/>
      <c r="R64" s="33"/>
      <c r="S64" s="33"/>
      <c r="T64" s="33"/>
      <c r="U64" s="137"/>
      <c r="V64" s="137"/>
      <c r="W64" s="137"/>
      <c r="X64" s="137"/>
      <c r="Y64" s="137"/>
      <c r="Z64" s="137"/>
      <c r="AA64" s="136"/>
      <c r="AB64" s="156"/>
      <c r="AC64" s="156"/>
      <c r="AD64" s="156"/>
      <c r="AE64" s="156"/>
      <c r="AF64" s="156"/>
      <c r="AG64" s="135"/>
      <c r="AH64" s="136"/>
      <c r="AI64" s="54"/>
      <c r="AJ64" s="54"/>
      <c r="AK64" s="53"/>
      <c r="AL64" s="53"/>
      <c r="AM64" s="29"/>
    </row>
    <row r="65" spans="1:60" x14ac:dyDescent="0.25">
      <c r="A65" s="137"/>
      <c r="B65" s="33"/>
      <c r="C65" s="142"/>
      <c r="D65" s="137"/>
      <c r="E65" s="137"/>
      <c r="F65" s="137"/>
      <c r="G65" s="137"/>
      <c r="H65" s="137"/>
      <c r="I65" s="137"/>
      <c r="J65" s="137"/>
      <c r="K65" s="137"/>
      <c r="L65" s="137"/>
      <c r="M65" s="137"/>
      <c r="N65" s="137"/>
      <c r="O65" s="137"/>
      <c r="P65" s="137"/>
      <c r="Q65" s="33"/>
      <c r="R65" s="33"/>
      <c r="S65" s="33"/>
      <c r="T65" s="33"/>
      <c r="U65" s="137"/>
      <c r="V65" s="137"/>
      <c r="W65" s="137"/>
      <c r="X65" s="137"/>
      <c r="Y65" s="137"/>
      <c r="Z65" s="137"/>
      <c r="AA65" s="136"/>
      <c r="AB65" s="156"/>
      <c r="AC65" s="156"/>
      <c r="AD65" s="156"/>
      <c r="AE65" s="156"/>
      <c r="AF65" s="156"/>
      <c r="AG65" s="135"/>
      <c r="AH65" s="136"/>
      <c r="AI65" s="54"/>
      <c r="AJ65" s="54"/>
      <c r="AK65" s="53"/>
      <c r="AL65" s="53"/>
      <c r="AM65" s="29"/>
    </row>
    <row r="66" spans="1:60" x14ac:dyDescent="0.25">
      <c r="A66" s="137"/>
      <c r="B66" s="137"/>
      <c r="C66" s="137"/>
      <c r="D66" s="137"/>
      <c r="E66" s="137"/>
      <c r="F66" s="137"/>
      <c r="G66" s="137"/>
      <c r="H66" s="137"/>
      <c r="I66" s="137"/>
      <c r="J66" s="137"/>
      <c r="K66" s="137"/>
      <c r="L66" s="137"/>
      <c r="M66" s="137"/>
      <c r="N66" s="137"/>
      <c r="O66" s="137"/>
      <c r="P66" s="137"/>
      <c r="Q66" s="33"/>
      <c r="R66" s="33"/>
      <c r="S66" s="33"/>
      <c r="T66" s="33"/>
      <c r="U66" s="137"/>
      <c r="V66" s="137"/>
      <c r="W66" s="137"/>
      <c r="X66" s="137"/>
      <c r="Y66" s="137"/>
      <c r="Z66" s="137"/>
      <c r="AA66" s="136"/>
      <c r="AB66" s="156"/>
      <c r="AC66" s="156"/>
      <c r="AD66" s="156"/>
      <c r="AE66" s="156"/>
      <c r="AF66" s="156"/>
      <c r="AG66" s="135"/>
      <c r="AH66" s="136"/>
      <c r="AI66" s="54"/>
      <c r="AJ66" s="54"/>
      <c r="AK66" s="53"/>
      <c r="AL66" s="53"/>
      <c r="AM66" s="29"/>
    </row>
    <row r="67" spans="1:60" ht="15" x14ac:dyDescent="0.25">
      <c r="A67" s="137"/>
      <c r="B67" s="137"/>
      <c r="C67" s="137"/>
      <c r="D67" s="137"/>
      <c r="E67" s="137"/>
      <c r="F67" s="137"/>
      <c r="G67" s="137"/>
      <c r="H67" s="151"/>
      <c r="I67" s="152"/>
      <c r="J67" s="137"/>
      <c r="K67" s="137"/>
      <c r="L67" s="137"/>
      <c r="M67" s="137"/>
      <c r="N67" s="137"/>
      <c r="O67" s="140"/>
      <c r="P67" s="137"/>
      <c r="Q67" s="33"/>
      <c r="R67" s="33"/>
      <c r="S67" s="33"/>
      <c r="T67" s="33"/>
      <c r="U67" s="145"/>
      <c r="V67" s="145"/>
      <c r="W67" s="145"/>
      <c r="X67" s="145"/>
      <c r="Y67" s="145"/>
      <c r="Z67" s="145"/>
      <c r="AA67" s="136"/>
      <c r="AB67" s="156"/>
      <c r="AC67" s="156"/>
      <c r="AD67" s="156"/>
      <c r="AE67" s="156"/>
      <c r="AF67" s="156"/>
      <c r="AG67" s="135"/>
      <c r="AH67" s="135"/>
      <c r="AI67" s="53"/>
      <c r="AJ67" s="135"/>
      <c r="AK67" s="135"/>
      <c r="AL67" s="135"/>
      <c r="AM67" s="33"/>
      <c r="AN67" s="33"/>
      <c r="AO67" s="33"/>
      <c r="AP67" s="33"/>
      <c r="AQ67" s="33"/>
      <c r="AR67" s="33"/>
      <c r="AS67" s="33"/>
      <c r="AT67" s="33"/>
      <c r="AU67" s="33"/>
      <c r="AV67" s="33"/>
      <c r="AW67" s="33"/>
      <c r="AX67" s="33"/>
      <c r="AY67" s="33"/>
      <c r="AZ67" s="33"/>
      <c r="BA67" s="33"/>
      <c r="BB67" s="33"/>
      <c r="BC67" s="33"/>
      <c r="BD67" s="33"/>
      <c r="BE67" s="33"/>
      <c r="BF67" s="33"/>
      <c r="BG67" s="33"/>
      <c r="BH67" s="33"/>
    </row>
    <row r="68" spans="1:60" ht="17.399999999999999" x14ac:dyDescent="0.3">
      <c r="A68" s="33"/>
      <c r="B68" s="137"/>
      <c r="C68" s="137"/>
      <c r="D68" s="137"/>
      <c r="E68" s="137"/>
      <c r="F68" s="137"/>
      <c r="G68" s="137"/>
      <c r="H68" s="137"/>
      <c r="I68" s="137"/>
      <c r="J68" s="137"/>
      <c r="K68" s="137"/>
      <c r="L68" s="137"/>
      <c r="M68" s="33"/>
      <c r="N68" s="137"/>
      <c r="O68" s="137"/>
      <c r="P68" s="137"/>
      <c r="Q68" s="33"/>
      <c r="R68" s="33"/>
      <c r="S68" s="33"/>
      <c r="T68" s="33"/>
      <c r="U68" s="145"/>
      <c r="V68" s="145"/>
      <c r="W68" s="145"/>
      <c r="X68" s="146"/>
      <c r="Y68" s="145"/>
      <c r="Z68" s="145"/>
      <c r="AA68" s="136"/>
      <c r="AB68" s="136"/>
      <c r="AC68" s="136"/>
      <c r="AD68" s="136"/>
      <c r="AE68" s="136"/>
      <c r="AF68" s="136"/>
      <c r="AG68" s="135"/>
      <c r="AH68" s="135"/>
      <c r="AI68" s="53"/>
      <c r="AJ68" s="135"/>
      <c r="AK68" s="135"/>
      <c r="AL68" s="135"/>
      <c r="AM68" s="33"/>
      <c r="AN68" s="33"/>
      <c r="AO68" s="33"/>
      <c r="AP68" s="33"/>
      <c r="AQ68" s="33"/>
      <c r="AR68" s="33"/>
      <c r="AS68" s="33"/>
      <c r="AT68" s="33"/>
      <c r="AU68" s="33"/>
      <c r="AV68" s="33"/>
      <c r="AW68" s="33"/>
      <c r="AX68" s="33"/>
      <c r="AY68" s="33"/>
      <c r="AZ68" s="33"/>
      <c r="BA68" s="33"/>
      <c r="BB68" s="33"/>
      <c r="BC68" s="33"/>
      <c r="BD68" s="33"/>
      <c r="BE68" s="33"/>
      <c r="BF68" s="33"/>
      <c r="BG68" s="33"/>
      <c r="BH68" s="33"/>
    </row>
    <row r="69" spans="1:60" ht="17.399999999999999" x14ac:dyDescent="0.3">
      <c r="A69" s="136"/>
      <c r="B69" s="137"/>
      <c r="C69" s="137"/>
      <c r="D69" s="137"/>
      <c r="E69" s="137"/>
      <c r="F69" s="137"/>
      <c r="G69" s="137"/>
      <c r="H69" s="137"/>
      <c r="I69" s="137"/>
      <c r="J69" s="137"/>
      <c r="K69" s="137"/>
      <c r="L69" s="137"/>
      <c r="M69" s="33"/>
      <c r="N69" s="153"/>
      <c r="O69" s="137"/>
      <c r="P69" s="137"/>
      <c r="Q69" s="33"/>
      <c r="R69" s="33"/>
      <c r="S69" s="33"/>
      <c r="T69" s="33"/>
      <c r="U69" s="145"/>
      <c r="V69" s="145"/>
      <c r="W69" s="145"/>
      <c r="X69" s="145"/>
      <c r="Y69" s="145"/>
      <c r="Z69" s="145"/>
      <c r="AA69" s="498"/>
      <c r="AB69" s="499"/>
      <c r="AC69" s="499"/>
      <c r="AD69" s="499"/>
      <c r="AE69" s="499"/>
      <c r="AF69" s="499"/>
      <c r="AG69" s="135"/>
      <c r="AH69" s="135"/>
      <c r="AI69" s="53"/>
      <c r="AJ69" s="147"/>
      <c r="AK69" s="33"/>
      <c r="AL69" s="33"/>
      <c r="AM69" s="33"/>
      <c r="AN69" s="148"/>
      <c r="AO69" s="33"/>
      <c r="AP69" s="33"/>
      <c r="AQ69" s="33"/>
      <c r="AR69" s="33"/>
      <c r="AS69" s="33"/>
      <c r="AT69" s="33"/>
      <c r="AU69" s="33"/>
      <c r="AV69" s="149"/>
      <c r="AW69" s="33"/>
      <c r="AX69" s="33"/>
      <c r="AY69" s="33"/>
      <c r="AZ69" s="33"/>
      <c r="BA69" s="33"/>
      <c r="BB69" s="33"/>
      <c r="BC69" s="33"/>
      <c r="BD69" s="33"/>
      <c r="BE69" s="33"/>
      <c r="BF69" s="33"/>
      <c r="BG69" s="33"/>
      <c r="BH69" s="33"/>
    </row>
    <row r="70" spans="1:60" x14ac:dyDescent="0.25">
      <c r="A70" s="136"/>
      <c r="B70" s="137"/>
      <c r="C70" s="137"/>
      <c r="D70" s="137"/>
      <c r="E70" s="137"/>
      <c r="F70" s="137"/>
      <c r="G70" s="137"/>
      <c r="H70" s="137"/>
      <c r="I70" s="137"/>
      <c r="J70" s="137"/>
      <c r="K70" s="137"/>
      <c r="L70" s="137"/>
      <c r="M70" s="137"/>
      <c r="N70" s="137"/>
      <c r="O70" s="137"/>
      <c r="P70" s="137"/>
      <c r="Q70" s="33"/>
      <c r="R70" s="33"/>
      <c r="S70" s="33"/>
      <c r="T70" s="33"/>
      <c r="U70" s="145"/>
      <c r="V70" s="145"/>
      <c r="W70" s="145"/>
      <c r="X70" s="145"/>
      <c r="Y70" s="145"/>
      <c r="Z70" s="145"/>
      <c r="AA70" s="136"/>
      <c r="AB70" s="142"/>
      <c r="AC70" s="142"/>
      <c r="AD70" s="142"/>
      <c r="AE70" s="142"/>
      <c r="AF70" s="158"/>
      <c r="AG70" s="145"/>
      <c r="AH70" s="135"/>
      <c r="AI70" s="5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row>
    <row r="71" spans="1:60" ht="15.6" x14ac:dyDescent="0.25">
      <c r="A71" s="136"/>
      <c r="B71" s="136"/>
      <c r="C71" s="137"/>
      <c r="D71" s="137"/>
      <c r="E71" s="137"/>
      <c r="F71" s="137"/>
      <c r="G71" s="137"/>
      <c r="H71" s="137"/>
      <c r="I71" s="137"/>
      <c r="J71" s="137"/>
      <c r="K71" s="137"/>
      <c r="L71" s="137"/>
      <c r="M71" s="137"/>
      <c r="N71" s="137"/>
      <c r="O71" s="137"/>
      <c r="P71" s="137"/>
      <c r="Q71" s="33"/>
      <c r="R71" s="33"/>
      <c r="S71" s="33"/>
      <c r="T71" s="33"/>
      <c r="U71" s="33"/>
      <c r="V71" s="33"/>
      <c r="W71" s="33"/>
      <c r="X71" s="33"/>
      <c r="Y71" s="33"/>
      <c r="Z71" s="33"/>
      <c r="AA71" s="159"/>
      <c r="AB71" s="160"/>
      <c r="AC71" s="161"/>
      <c r="AD71" s="156"/>
      <c r="AE71" s="162"/>
      <c r="AF71" s="163"/>
      <c r="AG71" s="135"/>
      <c r="AH71" s="33"/>
      <c r="AI71" s="29"/>
      <c r="AJ71" s="135"/>
      <c r="AK71" s="135"/>
      <c r="AL71" s="135"/>
      <c r="AM71" s="135"/>
      <c r="AN71" s="135"/>
      <c r="AO71" s="135"/>
      <c r="AP71" s="135"/>
      <c r="AQ71" s="135"/>
      <c r="AR71" s="135"/>
      <c r="AS71" s="135"/>
      <c r="AT71" s="135"/>
      <c r="AU71" s="135"/>
      <c r="AV71" s="135"/>
      <c r="AW71" s="135"/>
      <c r="AX71" s="135"/>
      <c r="AY71" s="135"/>
      <c r="AZ71" s="135"/>
      <c r="BA71" s="135"/>
      <c r="BB71" s="135"/>
      <c r="BC71" s="135"/>
      <c r="BD71" s="33"/>
      <c r="BE71" s="33"/>
      <c r="BF71" s="33"/>
      <c r="BG71" s="33"/>
      <c r="BH71" s="33"/>
    </row>
    <row r="72" spans="1:60" ht="17.399999999999999" x14ac:dyDescent="0.25">
      <c r="A72" s="136"/>
      <c r="B72" s="136"/>
      <c r="C72" s="137"/>
      <c r="D72" s="137"/>
      <c r="E72" s="137"/>
      <c r="F72" s="137"/>
      <c r="G72" s="137"/>
      <c r="H72" s="137"/>
      <c r="I72" s="137"/>
      <c r="J72" s="137"/>
      <c r="K72" s="137"/>
      <c r="L72" s="137"/>
      <c r="M72" s="137"/>
      <c r="N72" s="137"/>
      <c r="O72" s="137"/>
      <c r="P72" s="137"/>
      <c r="Q72" s="33"/>
      <c r="R72" s="33"/>
      <c r="S72" s="33"/>
      <c r="T72" s="33"/>
      <c r="U72" s="33"/>
      <c r="V72" s="33"/>
      <c r="W72" s="33"/>
      <c r="X72" s="33"/>
      <c r="Y72" s="33"/>
      <c r="Z72" s="33"/>
      <c r="AA72" s="159"/>
      <c r="AB72" s="160"/>
      <c r="AC72" s="161"/>
      <c r="AD72" s="156"/>
      <c r="AE72" s="154"/>
      <c r="AF72" s="164"/>
      <c r="AG72" s="135"/>
      <c r="AH72" s="33"/>
      <c r="AI72" s="29"/>
      <c r="AJ72" s="136"/>
      <c r="AK72" s="136"/>
      <c r="AL72" s="136"/>
      <c r="AM72" s="136"/>
      <c r="AN72" s="136"/>
      <c r="AO72" s="136"/>
      <c r="AP72" s="136"/>
      <c r="AQ72" s="136"/>
      <c r="AR72" s="136"/>
      <c r="AS72" s="136"/>
      <c r="AT72" s="136"/>
      <c r="AU72" s="136"/>
      <c r="AV72" s="136"/>
      <c r="AW72" s="136"/>
      <c r="AX72" s="136"/>
      <c r="AY72" s="136"/>
      <c r="AZ72" s="136"/>
      <c r="BA72" s="136"/>
      <c r="BB72" s="136"/>
      <c r="BC72" s="136"/>
      <c r="BD72" s="33"/>
      <c r="BE72" s="33"/>
      <c r="BF72" s="33"/>
      <c r="BG72" s="33"/>
      <c r="BH72" s="33"/>
    </row>
    <row r="73" spans="1:60" x14ac:dyDescent="0.25">
      <c r="A73" s="136"/>
      <c r="B73" s="137"/>
      <c r="C73" s="137"/>
      <c r="D73" s="137"/>
      <c r="E73" s="137"/>
      <c r="F73" s="137"/>
      <c r="G73" s="137"/>
      <c r="H73" s="137"/>
      <c r="I73" s="137"/>
      <c r="J73" s="137"/>
      <c r="K73" s="137"/>
      <c r="L73" s="137"/>
      <c r="M73" s="137"/>
      <c r="N73" s="137"/>
      <c r="O73" s="137"/>
      <c r="P73" s="137"/>
      <c r="Q73" s="33"/>
      <c r="R73" s="33"/>
      <c r="S73" s="33"/>
      <c r="T73" s="33"/>
      <c r="U73" s="33"/>
      <c r="V73" s="33"/>
      <c r="W73" s="33"/>
      <c r="X73" s="33"/>
      <c r="Y73" s="29"/>
      <c r="Z73" s="29"/>
      <c r="AA73" s="29"/>
      <c r="AB73" s="29"/>
      <c r="AC73" s="29"/>
      <c r="AD73" s="29"/>
      <c r="AE73" s="29"/>
      <c r="AF73" s="29"/>
      <c r="AG73" s="29"/>
      <c r="AH73" s="29"/>
      <c r="AI73" s="29"/>
      <c r="AJ73" s="136"/>
      <c r="AK73" s="137"/>
      <c r="AL73" s="137"/>
      <c r="AM73" s="137"/>
      <c r="AN73" s="137"/>
      <c r="AO73" s="137"/>
      <c r="AP73" s="138"/>
      <c r="AQ73" s="62"/>
      <c r="AR73" s="137"/>
      <c r="AS73" s="137"/>
      <c r="AT73" s="137"/>
      <c r="AU73" s="139"/>
      <c r="AV73" s="62"/>
      <c r="AW73" s="137"/>
      <c r="AX73" s="140"/>
      <c r="AY73" s="62"/>
      <c r="AZ73" s="141"/>
      <c r="BA73" s="136"/>
      <c r="BB73" s="136"/>
      <c r="BC73" s="136"/>
      <c r="BD73" s="33"/>
      <c r="BE73" s="33"/>
      <c r="BF73" s="33"/>
      <c r="BG73" s="33"/>
      <c r="BH73" s="33"/>
    </row>
    <row r="74" spans="1:60" ht="17.399999999999999" x14ac:dyDescent="0.25">
      <c r="A74" s="136"/>
      <c r="B74" s="137"/>
      <c r="C74" s="137"/>
      <c r="D74" s="137"/>
      <c r="E74" s="154"/>
      <c r="F74" s="137"/>
      <c r="G74" s="137"/>
      <c r="H74" s="137"/>
      <c r="I74" s="137"/>
      <c r="J74" s="137"/>
      <c r="K74" s="137"/>
      <c r="L74" s="137"/>
      <c r="M74" s="137"/>
      <c r="N74" s="137"/>
      <c r="O74" s="137"/>
      <c r="P74" s="137"/>
      <c r="Q74" s="33"/>
      <c r="R74" s="33"/>
      <c r="S74" s="33"/>
      <c r="T74" s="33"/>
      <c r="U74" s="33"/>
      <c r="V74" s="33"/>
      <c r="W74" s="33"/>
      <c r="X74" s="33"/>
      <c r="Y74" s="29"/>
      <c r="Z74" s="29"/>
      <c r="AA74" s="29"/>
      <c r="AB74" s="29"/>
      <c r="AC74" s="29"/>
      <c r="AD74" s="29"/>
      <c r="AE74" s="29"/>
      <c r="AF74" s="29"/>
      <c r="AG74" s="29"/>
      <c r="AH74" s="29"/>
      <c r="AI74" s="29"/>
      <c r="AJ74" s="136"/>
      <c r="AK74" s="137"/>
      <c r="AL74" s="137"/>
      <c r="AM74" s="137"/>
      <c r="AN74" s="137"/>
      <c r="AO74" s="137"/>
      <c r="AP74" s="137"/>
      <c r="AQ74" s="137"/>
      <c r="AR74" s="137"/>
      <c r="AS74" s="137"/>
      <c r="AT74" s="137"/>
      <c r="AU74" s="137"/>
      <c r="AV74" s="137"/>
      <c r="AW74" s="137"/>
      <c r="AX74" s="137"/>
      <c r="AY74" s="137"/>
      <c r="AZ74" s="33"/>
      <c r="BA74" s="33"/>
      <c r="BB74" s="33"/>
      <c r="BC74" s="33"/>
      <c r="BD74" s="33"/>
      <c r="BE74" s="33"/>
      <c r="BF74" s="33"/>
      <c r="BG74" s="33"/>
      <c r="BH74" s="33"/>
    </row>
    <row r="75" spans="1:60" x14ac:dyDescent="0.25">
      <c r="A75" s="136"/>
      <c r="B75" s="137"/>
      <c r="C75" s="137"/>
      <c r="D75" s="142"/>
      <c r="E75" s="137"/>
      <c r="F75" s="137"/>
      <c r="G75" s="137"/>
      <c r="H75" s="137"/>
      <c r="I75" s="137"/>
      <c r="J75" s="137"/>
      <c r="K75" s="137"/>
      <c r="L75" s="137"/>
      <c r="M75" s="137"/>
      <c r="N75" s="140"/>
      <c r="O75" s="33"/>
      <c r="P75" s="137"/>
      <c r="Q75" s="136"/>
      <c r="R75" s="136"/>
      <c r="S75" s="136"/>
      <c r="T75" s="136"/>
      <c r="U75" s="33"/>
      <c r="V75" s="33"/>
      <c r="W75" s="33"/>
      <c r="X75" s="33"/>
      <c r="AJ75" s="136"/>
      <c r="AK75" s="137"/>
      <c r="AL75" s="137"/>
      <c r="AM75" s="137"/>
      <c r="AN75" s="137"/>
      <c r="AO75" s="137"/>
      <c r="AP75" s="137"/>
      <c r="AQ75" s="137"/>
      <c r="AR75" s="137"/>
      <c r="AS75" s="150"/>
      <c r="AT75" s="150"/>
      <c r="AU75" s="150"/>
      <c r="AV75" s="150"/>
      <c r="AW75" s="150"/>
      <c r="AX75" s="142"/>
      <c r="AY75" s="33"/>
      <c r="AZ75" s="33"/>
      <c r="BA75" s="33"/>
      <c r="BB75" s="33"/>
      <c r="BC75" s="33"/>
      <c r="BD75" s="33"/>
      <c r="BE75" s="33"/>
      <c r="BF75" s="33"/>
      <c r="BG75" s="33"/>
      <c r="BH75" s="33"/>
    </row>
    <row r="76" spans="1:60" ht="15" x14ac:dyDescent="0.25">
      <c r="A76" s="136"/>
      <c r="B76" s="137"/>
      <c r="C76" s="137"/>
      <c r="D76" s="183"/>
      <c r="E76" s="137"/>
      <c r="F76" s="137"/>
      <c r="G76" s="137"/>
      <c r="H76" s="137"/>
      <c r="I76" s="137"/>
      <c r="J76" s="137"/>
      <c r="K76" s="137"/>
      <c r="L76" s="137"/>
      <c r="M76" s="137"/>
      <c r="N76" s="137"/>
      <c r="O76" s="137"/>
      <c r="P76" s="137"/>
      <c r="Q76" s="136"/>
      <c r="R76" s="136"/>
      <c r="S76" s="136"/>
      <c r="T76" s="136"/>
      <c r="U76" s="33"/>
      <c r="V76" s="33"/>
      <c r="W76" s="33"/>
      <c r="X76" s="33"/>
      <c r="AJ76" s="136"/>
      <c r="AK76" s="137"/>
      <c r="AL76" s="137"/>
      <c r="AM76" s="137"/>
      <c r="AN76" s="137"/>
      <c r="AO76" s="137"/>
      <c r="AP76" s="137"/>
      <c r="AQ76" s="137"/>
      <c r="AR76" s="137"/>
      <c r="AS76" s="137"/>
      <c r="AT76" s="137"/>
      <c r="AU76" s="137"/>
      <c r="AV76" s="137"/>
      <c r="AW76" s="137"/>
      <c r="AX76" s="143"/>
      <c r="AY76" s="137"/>
      <c r="AZ76" s="33"/>
      <c r="BA76" s="33"/>
      <c r="BB76" s="33"/>
      <c r="BC76" s="33"/>
      <c r="BD76" s="33"/>
      <c r="BE76" s="33"/>
      <c r="BF76" s="33"/>
      <c r="BG76" s="33"/>
      <c r="BH76" s="33"/>
    </row>
    <row r="77" spans="1:60" ht="15" x14ac:dyDescent="0.25">
      <c r="A77" s="137"/>
      <c r="B77" s="33"/>
      <c r="C77" s="142"/>
      <c r="D77" s="183"/>
      <c r="E77" s="137"/>
      <c r="F77" s="137"/>
      <c r="G77" s="137"/>
      <c r="H77" s="137"/>
      <c r="I77" s="137"/>
      <c r="J77" s="137"/>
      <c r="K77" s="137"/>
      <c r="L77" s="137"/>
      <c r="M77" s="137"/>
      <c r="N77" s="137"/>
      <c r="O77" s="137"/>
      <c r="P77" s="137"/>
      <c r="Q77" s="136"/>
      <c r="R77" s="136"/>
      <c r="S77" s="136"/>
      <c r="T77" s="136"/>
      <c r="U77" s="33"/>
      <c r="V77" s="33"/>
      <c r="W77" s="33"/>
      <c r="X77" s="33"/>
      <c r="AJ77" s="137"/>
      <c r="AK77" s="33"/>
      <c r="AL77" s="142"/>
      <c r="AM77" s="137"/>
      <c r="AN77" s="137"/>
      <c r="AO77" s="137"/>
      <c r="AP77" s="137"/>
      <c r="AQ77" s="137"/>
      <c r="AR77" s="137"/>
      <c r="AS77" s="137"/>
      <c r="AT77" s="137"/>
      <c r="AU77" s="137"/>
      <c r="AV77" s="137"/>
      <c r="AW77" s="137"/>
      <c r="AX77" s="137"/>
      <c r="AY77" s="137"/>
      <c r="AZ77" s="33"/>
      <c r="BA77" s="33"/>
      <c r="BB77" s="33"/>
      <c r="BC77" s="33"/>
      <c r="BD77" s="33"/>
      <c r="BE77" s="33"/>
      <c r="BF77" s="33"/>
      <c r="BG77" s="33"/>
      <c r="BH77" s="33"/>
    </row>
    <row r="78" spans="1:60" ht="15" x14ac:dyDescent="0.25">
      <c r="A78" s="137"/>
      <c r="B78" s="33"/>
      <c r="C78" s="142"/>
      <c r="D78" s="183"/>
      <c r="E78" s="137"/>
      <c r="F78" s="137"/>
      <c r="G78" s="137"/>
      <c r="H78" s="137"/>
      <c r="I78" s="137"/>
      <c r="J78" s="137"/>
      <c r="K78" s="137"/>
      <c r="L78" s="137"/>
      <c r="M78" s="137"/>
      <c r="N78" s="137"/>
      <c r="O78" s="137"/>
      <c r="P78" s="137"/>
      <c r="Q78" s="136"/>
      <c r="R78" s="136"/>
      <c r="S78" s="136"/>
      <c r="T78" s="136"/>
      <c r="U78" s="33"/>
      <c r="V78" s="33"/>
      <c r="W78" s="33"/>
      <c r="X78" s="33"/>
      <c r="AJ78" s="137"/>
      <c r="AK78" s="33"/>
      <c r="AL78" s="142"/>
      <c r="AM78" s="137"/>
      <c r="AN78" s="137"/>
      <c r="AO78" s="137"/>
      <c r="AP78" s="137"/>
      <c r="AQ78" s="137"/>
      <c r="AR78" s="137"/>
      <c r="AS78" s="137"/>
      <c r="AT78" s="137"/>
      <c r="AU78" s="137"/>
      <c r="AV78" s="137"/>
      <c r="AW78" s="137"/>
      <c r="AX78" s="137"/>
      <c r="AY78" s="137"/>
      <c r="AZ78" s="33"/>
      <c r="BA78" s="33"/>
      <c r="BB78" s="33"/>
      <c r="BC78" s="33"/>
      <c r="BD78" s="33"/>
      <c r="BE78" s="33"/>
      <c r="BF78" s="33"/>
      <c r="BG78" s="33"/>
      <c r="BH78" s="33"/>
    </row>
    <row r="79" spans="1:60" ht="15" x14ac:dyDescent="0.25">
      <c r="A79" s="140"/>
      <c r="B79" s="137"/>
      <c r="C79" s="33"/>
      <c r="D79" s="183"/>
      <c r="E79" s="137"/>
      <c r="F79" s="137"/>
      <c r="G79" s="137"/>
      <c r="H79" s="137"/>
      <c r="I79" s="137"/>
      <c r="J79" s="137"/>
      <c r="K79" s="137"/>
      <c r="L79" s="137"/>
      <c r="M79" s="137"/>
      <c r="N79" s="137"/>
      <c r="O79" s="137"/>
      <c r="P79" s="137"/>
      <c r="Q79" s="136"/>
      <c r="R79" s="136"/>
      <c r="S79" s="136"/>
      <c r="T79" s="136"/>
      <c r="U79" s="33"/>
      <c r="V79" s="33"/>
      <c r="W79" s="33"/>
      <c r="X79" s="33"/>
      <c r="AJ79" s="137"/>
      <c r="AK79" s="137"/>
      <c r="AL79" s="137"/>
      <c r="AM79" s="137"/>
      <c r="AN79" s="137"/>
      <c r="AO79" s="137"/>
      <c r="AP79" s="137"/>
      <c r="AQ79" s="137"/>
      <c r="AR79" s="137"/>
      <c r="AS79" s="137"/>
      <c r="AT79" s="137"/>
      <c r="AU79" s="137"/>
      <c r="AV79" s="137"/>
      <c r="AW79" s="137"/>
      <c r="AX79" s="137"/>
      <c r="AY79" s="137"/>
      <c r="AZ79" s="33"/>
      <c r="BA79" s="33"/>
      <c r="BB79" s="33"/>
      <c r="BC79" s="33"/>
      <c r="BD79" s="33"/>
      <c r="BE79" s="33"/>
      <c r="BF79" s="33"/>
      <c r="BG79" s="33"/>
      <c r="BH79" s="33"/>
    </row>
    <row r="80" spans="1:60" ht="15" x14ac:dyDescent="0.25">
      <c r="A80" s="136"/>
      <c r="B80" s="137"/>
      <c r="C80" s="137"/>
      <c r="D80" s="183"/>
      <c r="E80" s="137"/>
      <c r="F80" s="137"/>
      <c r="G80" s="137"/>
      <c r="H80" s="137"/>
      <c r="I80" s="137"/>
      <c r="J80" s="137"/>
      <c r="K80" s="137"/>
      <c r="L80" s="137"/>
      <c r="M80" s="137"/>
      <c r="N80" s="137"/>
      <c r="O80" s="137"/>
      <c r="P80" s="137"/>
      <c r="Q80" s="144"/>
      <c r="R80" s="136"/>
      <c r="S80" s="136"/>
      <c r="T80" s="136"/>
      <c r="U80" s="33"/>
      <c r="V80" s="33"/>
      <c r="W80" s="33"/>
      <c r="X80" s="33"/>
      <c r="AJ80" s="137"/>
      <c r="AK80" s="137"/>
      <c r="AL80" s="137"/>
      <c r="AM80" s="137"/>
      <c r="AN80" s="137"/>
      <c r="AO80" s="137"/>
      <c r="AP80" s="137"/>
      <c r="AQ80" s="151"/>
      <c r="AR80" s="152"/>
      <c r="AS80" s="137"/>
      <c r="AT80" s="137"/>
      <c r="AU80" s="137"/>
      <c r="AV80" s="137"/>
      <c r="AW80" s="137"/>
      <c r="AX80" s="140"/>
      <c r="AY80" s="137"/>
      <c r="AZ80" s="33"/>
      <c r="BA80" s="33"/>
      <c r="BB80" s="33"/>
      <c r="BC80" s="33"/>
      <c r="BD80" s="33"/>
      <c r="BE80" s="33"/>
      <c r="BF80" s="33"/>
      <c r="BG80" s="33"/>
      <c r="BH80" s="33"/>
    </row>
    <row r="81" spans="1:60" ht="15" x14ac:dyDescent="0.25">
      <c r="A81" s="136"/>
      <c r="B81" s="137"/>
      <c r="C81" s="137"/>
      <c r="D81" s="183"/>
      <c r="E81" s="137"/>
      <c r="F81" s="137"/>
      <c r="G81" s="137"/>
      <c r="H81" s="137"/>
      <c r="I81" s="137"/>
      <c r="J81" s="137"/>
      <c r="K81" s="137"/>
      <c r="L81" s="137"/>
      <c r="M81" s="137"/>
      <c r="N81" s="137"/>
      <c r="O81" s="137"/>
      <c r="P81" s="137"/>
      <c r="Q81" s="136"/>
      <c r="R81" s="136"/>
      <c r="S81" s="136"/>
      <c r="T81" s="136"/>
      <c r="U81" s="33"/>
      <c r="V81" s="33"/>
      <c r="W81" s="33"/>
      <c r="X81" s="33"/>
      <c r="AJ81" s="33"/>
      <c r="AK81" s="137"/>
      <c r="AL81" s="137"/>
      <c r="AM81" s="137"/>
      <c r="AN81" s="137"/>
      <c r="AO81" s="137"/>
      <c r="AP81" s="137"/>
      <c r="AQ81" s="137"/>
      <c r="AR81" s="137"/>
      <c r="AS81" s="137"/>
      <c r="AT81" s="137"/>
      <c r="AU81" s="137"/>
      <c r="AV81" s="33"/>
      <c r="AW81" s="137"/>
      <c r="AX81" s="137"/>
      <c r="AY81" s="137"/>
      <c r="AZ81" s="33"/>
      <c r="BA81" s="33"/>
      <c r="BB81" s="33"/>
      <c r="BC81" s="33"/>
      <c r="BD81" s="33"/>
      <c r="BE81" s="33"/>
      <c r="BF81" s="33"/>
      <c r="BG81" s="33"/>
      <c r="BH81" s="33"/>
    </row>
    <row r="82" spans="1:60" ht="15.6" x14ac:dyDescent="0.3">
      <c r="A82" s="136"/>
      <c r="B82" s="137"/>
      <c r="C82" s="137"/>
      <c r="D82" s="183"/>
      <c r="E82" s="137"/>
      <c r="F82" s="137"/>
      <c r="G82" s="137"/>
      <c r="H82" s="137"/>
      <c r="I82" s="137"/>
      <c r="J82" s="137"/>
      <c r="K82" s="137"/>
      <c r="L82" s="137"/>
      <c r="M82" s="137"/>
      <c r="N82" s="137"/>
      <c r="O82" s="137"/>
      <c r="P82" s="137"/>
      <c r="Q82" s="136"/>
      <c r="R82" s="136"/>
      <c r="S82" s="136"/>
      <c r="T82" s="136"/>
      <c r="U82" s="33"/>
      <c r="V82" s="33"/>
      <c r="W82" s="33"/>
      <c r="X82" s="33"/>
      <c r="AJ82" s="136"/>
      <c r="AK82" s="137"/>
      <c r="AL82" s="137"/>
      <c r="AM82" s="137"/>
      <c r="AN82" s="137"/>
      <c r="AO82" s="137"/>
      <c r="AP82" s="137"/>
      <c r="AQ82" s="137"/>
      <c r="AR82" s="137"/>
      <c r="AS82" s="137"/>
      <c r="AT82" s="137"/>
      <c r="AU82" s="137"/>
      <c r="AV82" s="33"/>
      <c r="AW82" s="153"/>
      <c r="AX82" s="137"/>
      <c r="AY82" s="137"/>
      <c r="AZ82" s="33"/>
      <c r="BA82" s="33"/>
      <c r="BB82" s="33"/>
      <c r="BC82" s="33"/>
      <c r="BD82" s="33"/>
      <c r="BE82" s="33"/>
      <c r="BF82" s="33"/>
      <c r="BG82" s="33"/>
      <c r="BH82" s="33"/>
    </row>
    <row r="83" spans="1:60" ht="15" x14ac:dyDescent="0.25">
      <c r="A83" s="136"/>
      <c r="B83" s="137"/>
      <c r="C83" s="137"/>
      <c r="D83" s="183"/>
      <c r="E83" s="137"/>
      <c r="F83" s="137"/>
      <c r="G83" s="137"/>
      <c r="H83" s="137"/>
      <c r="I83" s="137"/>
      <c r="J83" s="137"/>
      <c r="K83" s="137"/>
      <c r="L83" s="137"/>
      <c r="M83" s="136"/>
      <c r="N83" s="33"/>
      <c r="O83" s="156"/>
      <c r="P83" s="157"/>
      <c r="Q83" s="156"/>
      <c r="R83" s="33"/>
      <c r="S83" s="135"/>
      <c r="T83" s="136"/>
      <c r="U83" s="33"/>
      <c r="V83" s="33"/>
      <c r="W83" s="33"/>
      <c r="X83" s="33"/>
      <c r="AJ83" s="136"/>
      <c r="AK83" s="137"/>
      <c r="AL83" s="137"/>
      <c r="AM83" s="137"/>
      <c r="AN83" s="137"/>
      <c r="AO83" s="137"/>
      <c r="AP83" s="137"/>
      <c r="AQ83" s="137"/>
      <c r="AR83" s="137"/>
      <c r="AS83" s="137"/>
      <c r="AT83" s="137"/>
      <c r="AU83" s="137"/>
      <c r="AV83" s="137"/>
      <c r="AW83" s="137"/>
      <c r="AX83" s="137"/>
      <c r="AY83" s="137"/>
      <c r="AZ83" s="33"/>
      <c r="BA83" s="33"/>
      <c r="BB83" s="33"/>
      <c r="BC83" s="33"/>
      <c r="BD83" s="33"/>
      <c r="BE83" s="33"/>
      <c r="BF83" s="33"/>
      <c r="BG83" s="33"/>
      <c r="BH83" s="33"/>
    </row>
    <row r="84" spans="1:60" ht="15" x14ac:dyDescent="0.25">
      <c r="A84" s="136"/>
      <c r="B84" s="137"/>
      <c r="C84" s="137"/>
      <c r="D84" s="183"/>
      <c r="E84" s="137"/>
      <c r="F84" s="137"/>
      <c r="G84" s="137"/>
      <c r="H84" s="137"/>
      <c r="I84" s="137"/>
      <c r="J84" s="137"/>
      <c r="K84" s="137"/>
      <c r="L84" s="137"/>
      <c r="M84" s="136"/>
      <c r="N84" s="156"/>
      <c r="O84" s="156"/>
      <c r="P84" s="156"/>
      <c r="Q84" s="156"/>
      <c r="R84" s="156"/>
      <c r="S84" s="135"/>
      <c r="T84" s="136"/>
      <c r="U84" s="33"/>
      <c r="V84" s="33"/>
      <c r="W84" s="33"/>
      <c r="X84" s="33"/>
      <c r="AJ84" s="136"/>
      <c r="AK84" s="136"/>
      <c r="AL84" s="137"/>
      <c r="AM84" s="137"/>
      <c r="AN84" s="137"/>
      <c r="AO84" s="137"/>
      <c r="AP84" s="137"/>
      <c r="AQ84" s="137"/>
      <c r="AR84" s="137"/>
      <c r="AS84" s="137"/>
      <c r="AT84" s="137"/>
      <c r="AU84" s="137"/>
      <c r="AV84" s="137"/>
      <c r="AW84" s="137"/>
      <c r="AX84" s="137"/>
      <c r="AY84" s="137"/>
      <c r="AZ84" s="33"/>
      <c r="BA84" s="33"/>
      <c r="BB84" s="33"/>
      <c r="BC84" s="33"/>
      <c r="BD84" s="33"/>
      <c r="BE84" s="33"/>
      <c r="BF84" s="33"/>
      <c r="BG84" s="33"/>
      <c r="BH84" s="33"/>
    </row>
    <row r="85" spans="1:60" ht="15" x14ac:dyDescent="0.25">
      <c r="A85" s="136"/>
      <c r="B85" s="137"/>
      <c r="C85" s="137"/>
      <c r="D85" s="183"/>
      <c r="E85" s="137"/>
      <c r="F85" s="137"/>
      <c r="G85" s="137"/>
      <c r="H85" s="137"/>
      <c r="I85" s="137"/>
      <c r="J85" s="137"/>
      <c r="K85" s="137"/>
      <c r="L85" s="137"/>
      <c r="M85" s="136"/>
      <c r="N85" s="156"/>
      <c r="O85" s="142"/>
      <c r="P85" s="156"/>
      <c r="Q85" s="140"/>
      <c r="R85" s="156"/>
      <c r="S85" s="135"/>
      <c r="T85" s="136"/>
      <c r="U85" s="33"/>
      <c r="V85" s="33"/>
      <c r="W85" s="33"/>
      <c r="X85" s="33"/>
      <c r="AJ85" s="136"/>
      <c r="AK85" s="136"/>
      <c r="AL85" s="137"/>
      <c r="AM85" s="137"/>
      <c r="AN85" s="137"/>
      <c r="AO85" s="137"/>
      <c r="AP85" s="137"/>
      <c r="AQ85" s="137"/>
      <c r="AR85" s="137"/>
      <c r="AS85" s="137"/>
      <c r="AT85" s="137"/>
      <c r="AU85" s="137"/>
      <c r="AV85" s="137"/>
      <c r="AW85" s="137"/>
      <c r="AX85" s="137"/>
      <c r="AY85" s="137"/>
      <c r="AZ85" s="33"/>
      <c r="BA85" s="33"/>
      <c r="BB85" s="33"/>
      <c r="BC85" s="33"/>
      <c r="BD85" s="33"/>
      <c r="BE85" s="33"/>
      <c r="BF85" s="33"/>
      <c r="BG85" s="33"/>
      <c r="BH85" s="33"/>
    </row>
    <row r="86" spans="1:60" ht="15" x14ac:dyDescent="0.25">
      <c r="A86" s="136"/>
      <c r="B86" s="137"/>
      <c r="C86" s="137"/>
      <c r="D86" s="183"/>
      <c r="E86" s="137"/>
      <c r="F86" s="137"/>
      <c r="G86" s="137"/>
      <c r="H86" s="137"/>
      <c r="I86" s="137"/>
      <c r="J86" s="137"/>
      <c r="K86" s="137"/>
      <c r="L86" s="137"/>
      <c r="M86" s="136"/>
      <c r="N86" s="156"/>
      <c r="O86" s="156"/>
      <c r="P86" s="156"/>
      <c r="Q86" s="156"/>
      <c r="R86" s="156"/>
      <c r="S86" s="135"/>
      <c r="T86" s="136"/>
      <c r="U86" s="33"/>
      <c r="V86" s="33"/>
      <c r="W86" s="33"/>
      <c r="X86" s="33"/>
      <c r="AJ86" s="136"/>
      <c r="AK86" s="137"/>
      <c r="AL86" s="137"/>
      <c r="AM86" s="137"/>
      <c r="AN86" s="137"/>
      <c r="AO86" s="137"/>
      <c r="AP86" s="137"/>
      <c r="AQ86" s="137"/>
      <c r="AR86" s="137"/>
      <c r="AS86" s="137"/>
      <c r="AT86" s="137"/>
      <c r="AU86" s="137"/>
      <c r="AV86" s="137"/>
      <c r="AW86" s="137"/>
      <c r="AX86" s="137"/>
      <c r="AY86" s="137"/>
      <c r="AZ86" s="33"/>
      <c r="BA86" s="33"/>
      <c r="BB86" s="33"/>
      <c r="BC86" s="33"/>
      <c r="BD86" s="33"/>
      <c r="BE86" s="33"/>
      <c r="BF86" s="33"/>
      <c r="BG86" s="33"/>
      <c r="BH86" s="33"/>
    </row>
    <row r="87" spans="1:60" ht="17.399999999999999" x14ac:dyDescent="0.25">
      <c r="A87" s="136"/>
      <c r="B87" s="137"/>
      <c r="C87" s="137"/>
      <c r="D87" s="183"/>
      <c r="E87" s="137"/>
      <c r="F87" s="137"/>
      <c r="G87" s="137"/>
      <c r="H87" s="137"/>
      <c r="I87" s="137"/>
      <c r="J87" s="137"/>
      <c r="K87" s="137"/>
      <c r="L87" s="137"/>
      <c r="M87" s="136"/>
      <c r="N87" s="156"/>
      <c r="O87" s="156"/>
      <c r="P87" s="156"/>
      <c r="Q87" s="156"/>
      <c r="R87" s="156"/>
      <c r="S87" s="135"/>
      <c r="T87" s="136"/>
      <c r="U87" s="33"/>
      <c r="V87" s="33"/>
      <c r="W87" s="33"/>
      <c r="X87" s="33"/>
      <c r="AJ87" s="136"/>
      <c r="AK87" s="137"/>
      <c r="AL87" s="137"/>
      <c r="AM87" s="137"/>
      <c r="AN87" s="154"/>
      <c r="AO87" s="137"/>
      <c r="AP87" s="137"/>
      <c r="AQ87" s="137"/>
      <c r="AR87" s="137"/>
      <c r="AS87" s="137"/>
      <c r="AT87" s="137"/>
      <c r="AU87" s="137"/>
      <c r="AV87" s="137"/>
      <c r="AW87" s="137"/>
      <c r="AX87" s="137"/>
      <c r="AY87" s="137"/>
      <c r="AZ87" s="33"/>
      <c r="BA87" s="33"/>
      <c r="BB87" s="33"/>
      <c r="BC87" s="33"/>
      <c r="BD87" s="33"/>
      <c r="BE87" s="33"/>
      <c r="BF87" s="33"/>
      <c r="BG87" s="33"/>
      <c r="BH87" s="33"/>
    </row>
    <row r="88" spans="1:60" ht="15" x14ac:dyDescent="0.25">
      <c r="A88" s="136"/>
      <c r="B88" s="137"/>
      <c r="C88" s="137"/>
      <c r="D88" s="183"/>
      <c r="E88" s="137"/>
      <c r="F88" s="137"/>
      <c r="G88" s="137"/>
      <c r="H88" s="137"/>
      <c r="I88" s="137"/>
      <c r="J88" s="137"/>
      <c r="K88" s="137"/>
      <c r="L88" s="137"/>
      <c r="M88" s="136"/>
      <c r="N88" s="156"/>
      <c r="O88" s="156"/>
      <c r="P88" s="156"/>
      <c r="Q88" s="156"/>
      <c r="R88" s="156"/>
      <c r="S88" s="135"/>
      <c r="T88" s="136"/>
      <c r="U88" s="145"/>
      <c r="V88" s="145"/>
      <c r="W88" s="145"/>
      <c r="X88" s="145"/>
      <c r="Y88" s="13"/>
      <c r="Z88" s="13"/>
      <c r="AA88" s="13"/>
      <c r="AB88" s="13"/>
      <c r="AC88" s="13"/>
      <c r="AD88"/>
      <c r="AE88"/>
      <c r="AF88"/>
      <c r="AG88"/>
      <c r="AH88"/>
      <c r="AI88"/>
      <c r="AJ88" s="136"/>
      <c r="AK88" s="137"/>
      <c r="AL88" s="137"/>
      <c r="AM88" s="142"/>
      <c r="AN88" s="137"/>
      <c r="AO88" s="137"/>
      <c r="AP88" s="137"/>
      <c r="AQ88" s="137"/>
      <c r="AR88" s="137"/>
      <c r="AS88" s="137"/>
      <c r="AT88" s="137"/>
      <c r="AU88" s="137"/>
      <c r="AV88" s="137"/>
      <c r="AW88" s="140"/>
      <c r="AX88" s="33"/>
      <c r="AY88" s="137"/>
      <c r="AZ88" s="136"/>
      <c r="BA88" s="136"/>
      <c r="BB88" s="136"/>
      <c r="BC88" s="136"/>
      <c r="BD88" s="33"/>
      <c r="BE88" s="33"/>
      <c r="BF88" s="33"/>
      <c r="BG88" s="33"/>
      <c r="BH88" s="33"/>
    </row>
    <row r="89" spans="1:60" ht="15" x14ac:dyDescent="0.25">
      <c r="A89" s="136"/>
      <c r="B89" s="137"/>
      <c r="C89" s="137"/>
      <c r="D89" s="137"/>
      <c r="E89" s="137"/>
      <c r="F89" s="137"/>
      <c r="G89" s="137"/>
      <c r="H89" s="137"/>
      <c r="I89" s="137"/>
      <c r="J89" s="137"/>
      <c r="K89" s="137"/>
      <c r="L89" s="137"/>
      <c r="M89" s="136"/>
      <c r="N89" s="156"/>
      <c r="O89" s="156"/>
      <c r="P89" s="156"/>
      <c r="Q89" s="156"/>
      <c r="R89" s="156"/>
      <c r="S89" s="135"/>
      <c r="T89" s="136"/>
      <c r="U89" s="33"/>
      <c r="V89" s="33"/>
      <c r="W89" s="33"/>
      <c r="X89" s="33"/>
      <c r="AJ89" s="136"/>
      <c r="AK89" s="137"/>
      <c r="AL89" s="137"/>
      <c r="AM89" s="183"/>
      <c r="AN89" s="137"/>
      <c r="AO89" s="137"/>
      <c r="AP89" s="137"/>
      <c r="AQ89" s="137"/>
      <c r="AR89" s="137"/>
      <c r="AS89" s="137"/>
      <c r="AT89" s="137"/>
      <c r="AU89" s="137"/>
      <c r="AV89" s="137"/>
      <c r="AW89" s="137"/>
      <c r="AX89" s="137"/>
      <c r="AY89" s="137"/>
      <c r="AZ89" s="136"/>
      <c r="BA89" s="136"/>
      <c r="BB89" s="136"/>
      <c r="BC89" s="136"/>
      <c r="BD89" s="33"/>
      <c r="BE89" s="33"/>
      <c r="BF89" s="33"/>
      <c r="BG89" s="33"/>
      <c r="BH89" s="33"/>
    </row>
    <row r="90" spans="1:60" ht="15" x14ac:dyDescent="0.25">
      <c r="A90" s="135"/>
      <c r="B90" s="145"/>
      <c r="C90" s="145"/>
      <c r="D90" s="145"/>
      <c r="E90" s="145"/>
      <c r="F90" s="145"/>
      <c r="G90" s="145"/>
      <c r="H90" s="145"/>
      <c r="I90" s="145"/>
      <c r="J90" s="145"/>
      <c r="K90" s="145"/>
      <c r="L90" s="145"/>
      <c r="M90" s="136"/>
      <c r="N90" s="156"/>
      <c r="O90" s="156"/>
      <c r="P90" s="156"/>
      <c r="Q90" s="156"/>
      <c r="R90" s="156"/>
      <c r="S90" s="135"/>
      <c r="T90" s="135"/>
      <c r="U90" s="33"/>
      <c r="V90" s="33"/>
      <c r="W90" s="33"/>
      <c r="X90" s="33"/>
      <c r="AJ90" s="137"/>
      <c r="AK90" s="33"/>
      <c r="AL90" s="142"/>
      <c r="AM90" s="183"/>
      <c r="AN90" s="137"/>
      <c r="AO90" s="137"/>
      <c r="AP90" s="137"/>
      <c r="AQ90" s="137"/>
      <c r="AR90" s="137"/>
      <c r="AS90" s="137"/>
      <c r="AT90" s="137"/>
      <c r="AU90" s="137"/>
      <c r="AV90" s="137"/>
      <c r="AW90" s="137"/>
      <c r="AX90" s="137"/>
      <c r="AY90" s="137"/>
      <c r="AZ90" s="136"/>
      <c r="BA90" s="136"/>
      <c r="BB90" s="136"/>
      <c r="BC90" s="136"/>
      <c r="BD90" s="33"/>
      <c r="BE90" s="33"/>
      <c r="BF90" s="33"/>
      <c r="BG90" s="33"/>
      <c r="BH90" s="33"/>
    </row>
    <row r="91" spans="1:60" ht="17.399999999999999" x14ac:dyDescent="0.3">
      <c r="A91" s="135"/>
      <c r="B91" s="145"/>
      <c r="C91" s="145"/>
      <c r="D91" s="145"/>
      <c r="E91" s="145"/>
      <c r="F91" s="145"/>
      <c r="G91" s="145"/>
      <c r="H91" s="145"/>
      <c r="I91" s="145"/>
      <c r="J91" s="146"/>
      <c r="K91" s="145"/>
      <c r="L91" s="145"/>
      <c r="M91" s="136"/>
      <c r="N91" s="136"/>
      <c r="O91" s="136"/>
      <c r="P91" s="136"/>
      <c r="Q91" s="136"/>
      <c r="R91" s="136"/>
      <c r="S91" s="135"/>
      <c r="T91" s="135"/>
      <c r="U91" s="33"/>
      <c r="V91" s="33"/>
      <c r="W91" s="33"/>
      <c r="X91" s="33"/>
      <c r="AJ91" s="140"/>
      <c r="AK91" s="137"/>
      <c r="AL91" s="33"/>
      <c r="AM91" s="183"/>
      <c r="AN91" s="137"/>
      <c r="AO91" s="137"/>
      <c r="AP91" s="137"/>
      <c r="AQ91" s="137"/>
      <c r="AR91" s="137"/>
      <c r="AS91" s="137"/>
      <c r="AT91" s="137"/>
      <c r="AU91" s="137"/>
      <c r="AV91" s="137"/>
      <c r="AW91" s="137"/>
      <c r="AX91" s="137"/>
      <c r="AY91" s="137"/>
      <c r="AZ91" s="136"/>
      <c r="BA91" s="136"/>
      <c r="BB91" s="136"/>
      <c r="BC91" s="136"/>
      <c r="BD91" s="33"/>
      <c r="BE91" s="33"/>
      <c r="BF91" s="33"/>
      <c r="BG91" s="33"/>
      <c r="BH91" s="33"/>
    </row>
    <row r="92" spans="1:60" ht="15" x14ac:dyDescent="0.25">
      <c r="A92" s="135"/>
      <c r="B92" s="145"/>
      <c r="C92" s="145"/>
      <c r="D92" s="145"/>
      <c r="E92" s="145"/>
      <c r="F92" s="145"/>
      <c r="G92" s="145"/>
      <c r="H92" s="145"/>
      <c r="I92" s="145"/>
      <c r="J92" s="145"/>
      <c r="K92" s="145"/>
      <c r="L92" s="145"/>
      <c r="M92" s="498"/>
      <c r="N92" s="499"/>
      <c r="O92" s="499"/>
      <c r="P92" s="499"/>
      <c r="Q92" s="499"/>
      <c r="R92" s="499"/>
      <c r="S92" s="135"/>
      <c r="T92" s="135"/>
      <c r="U92" s="33"/>
      <c r="V92" s="33"/>
      <c r="W92" s="33"/>
      <c r="X92" s="33"/>
      <c r="AJ92" s="136"/>
      <c r="AK92" s="137"/>
      <c r="AL92" s="137"/>
      <c r="AM92" s="183"/>
      <c r="AN92" s="137"/>
      <c r="AO92" s="137"/>
      <c r="AP92" s="137"/>
      <c r="AQ92" s="137"/>
      <c r="AR92" s="137"/>
      <c r="AS92" s="137"/>
      <c r="AT92" s="137"/>
      <c r="AU92" s="137"/>
      <c r="AV92" s="137"/>
      <c r="AW92" s="137"/>
      <c r="AX92" s="137"/>
      <c r="AY92" s="137"/>
      <c r="AZ92" s="144"/>
      <c r="BA92" s="136"/>
      <c r="BB92" s="136"/>
      <c r="BC92" s="136"/>
      <c r="BD92" s="33"/>
      <c r="BE92" s="33"/>
      <c r="BF92" s="33"/>
      <c r="BG92" s="33"/>
      <c r="BH92" s="33"/>
    </row>
    <row r="93" spans="1:60" ht="15" x14ac:dyDescent="0.25">
      <c r="A93" s="135"/>
      <c r="B93" s="145"/>
      <c r="C93" s="145"/>
      <c r="D93" s="145"/>
      <c r="E93" s="145"/>
      <c r="F93" s="145"/>
      <c r="G93" s="145"/>
      <c r="H93" s="145"/>
      <c r="I93" s="145"/>
      <c r="J93" s="145"/>
      <c r="K93" s="145"/>
      <c r="L93" s="145"/>
      <c r="M93" s="136"/>
      <c r="N93" s="142"/>
      <c r="O93" s="142"/>
      <c r="P93" s="142"/>
      <c r="Q93" s="142"/>
      <c r="R93" s="158"/>
      <c r="S93" s="145"/>
      <c r="T93" s="135"/>
      <c r="U93" s="33"/>
      <c r="V93" s="33"/>
      <c r="W93" s="33"/>
      <c r="X93" s="33"/>
      <c r="AJ93" s="136"/>
      <c r="AK93" s="137"/>
      <c r="AL93" s="137"/>
      <c r="AM93" s="183"/>
      <c r="AN93" s="137"/>
      <c r="AO93" s="137"/>
      <c r="AP93" s="137"/>
      <c r="AQ93" s="137"/>
      <c r="AR93" s="137"/>
      <c r="AS93" s="137"/>
      <c r="AT93" s="137"/>
      <c r="AU93" s="137"/>
      <c r="AV93" s="137"/>
      <c r="AW93" s="137"/>
      <c r="AX93" s="137"/>
      <c r="AY93" s="137"/>
      <c r="AZ93" s="136"/>
      <c r="BA93" s="136"/>
      <c r="BB93" s="136"/>
      <c r="BC93" s="136"/>
      <c r="BD93" s="33"/>
      <c r="BE93" s="33"/>
      <c r="BF93" s="33"/>
      <c r="BG93" s="33"/>
      <c r="BH93" s="33"/>
    </row>
    <row r="94" spans="1:60" ht="15.6" x14ac:dyDescent="0.25">
      <c r="A94" s="33"/>
      <c r="B94" s="33"/>
      <c r="C94" s="33"/>
      <c r="D94" s="33"/>
      <c r="E94" s="33"/>
      <c r="F94" s="33"/>
      <c r="G94" s="33"/>
      <c r="H94" s="33"/>
      <c r="I94" s="33"/>
      <c r="J94" s="33"/>
      <c r="K94" s="33"/>
      <c r="L94" s="33"/>
      <c r="M94" s="159"/>
      <c r="N94" s="160"/>
      <c r="O94" s="161"/>
      <c r="P94" s="156"/>
      <c r="Q94" s="162"/>
      <c r="R94" s="163"/>
      <c r="S94" s="135"/>
      <c r="T94" s="33"/>
      <c r="U94" s="33"/>
      <c r="V94" s="33"/>
      <c r="W94" s="33"/>
      <c r="X94" s="33"/>
      <c r="AJ94" s="136"/>
      <c r="AK94" s="137"/>
      <c r="AL94" s="137"/>
      <c r="AM94" s="183"/>
      <c r="AN94" s="137"/>
      <c r="AO94" s="137"/>
      <c r="AP94" s="137"/>
      <c r="AQ94" s="137"/>
      <c r="AR94" s="137"/>
      <c r="AS94" s="137"/>
      <c r="AT94" s="137"/>
      <c r="AU94" s="137"/>
      <c r="AV94" s="137"/>
      <c r="AW94" s="137"/>
      <c r="AX94" s="137"/>
      <c r="AY94" s="137"/>
      <c r="AZ94" s="136"/>
      <c r="BA94" s="136"/>
      <c r="BB94" s="136"/>
      <c r="BC94" s="136"/>
      <c r="BD94" s="33"/>
      <c r="BE94" s="33"/>
      <c r="BF94" s="33"/>
      <c r="BG94" s="33"/>
      <c r="BH94" s="33"/>
    </row>
    <row r="95" spans="1:60" ht="17.399999999999999" x14ac:dyDescent="0.25">
      <c r="A95" s="33"/>
      <c r="B95" s="33"/>
      <c r="C95" s="33"/>
      <c r="D95" s="33"/>
      <c r="E95" s="33"/>
      <c r="F95" s="33"/>
      <c r="G95" s="33"/>
      <c r="H95" s="33"/>
      <c r="I95" s="33"/>
      <c r="J95" s="33"/>
      <c r="K95" s="33"/>
      <c r="L95" s="33"/>
      <c r="M95" s="159"/>
      <c r="N95" s="160"/>
      <c r="O95" s="161"/>
      <c r="P95" s="156"/>
      <c r="Q95" s="154"/>
      <c r="R95" s="164"/>
      <c r="S95" s="135"/>
      <c r="T95" s="33"/>
      <c r="U95" s="33"/>
      <c r="V95" s="33"/>
      <c r="W95" s="33"/>
      <c r="X95" s="33"/>
      <c r="AJ95" s="136"/>
      <c r="AK95" s="137"/>
      <c r="AL95" s="137"/>
      <c r="AM95" s="183"/>
      <c r="AN95" s="137"/>
      <c r="AO95" s="137"/>
      <c r="AP95" s="137"/>
      <c r="AQ95" s="137"/>
      <c r="AR95" s="137"/>
      <c r="AS95" s="137"/>
      <c r="AT95" s="137"/>
      <c r="AU95" s="137"/>
      <c r="AV95" s="136"/>
      <c r="AW95" s="33"/>
      <c r="AX95" s="156"/>
      <c r="AY95" s="157"/>
      <c r="AZ95" s="156"/>
      <c r="BA95" s="33"/>
      <c r="BB95" s="135"/>
      <c r="BC95" s="136"/>
      <c r="BD95" s="33"/>
      <c r="BE95" s="33"/>
      <c r="BF95" s="33"/>
      <c r="BG95" s="33"/>
      <c r="BH95" s="33"/>
    </row>
    <row r="96" spans="1:60" ht="15" x14ac:dyDescent="0.25">
      <c r="A96" s="33"/>
      <c r="B96" s="33"/>
      <c r="C96" s="135"/>
      <c r="D96" s="33"/>
      <c r="E96" s="33"/>
      <c r="F96" s="33"/>
      <c r="G96" s="33"/>
      <c r="H96" s="33"/>
      <c r="I96" s="33"/>
      <c r="J96" s="33"/>
      <c r="K96" s="33"/>
      <c r="L96" s="33"/>
      <c r="M96" s="33"/>
      <c r="N96" s="33"/>
      <c r="O96" s="33"/>
      <c r="P96" s="33"/>
      <c r="Q96" s="33"/>
      <c r="R96" s="33"/>
      <c r="S96" s="33"/>
      <c r="T96" s="33"/>
      <c r="U96" s="33"/>
      <c r="V96" s="33"/>
      <c r="W96" s="33"/>
      <c r="X96" s="33"/>
      <c r="AJ96" s="136"/>
      <c r="AK96" s="137"/>
      <c r="AL96" s="137"/>
      <c r="AM96" s="183"/>
      <c r="AN96" s="137"/>
      <c r="AO96" s="137"/>
      <c r="AP96" s="137"/>
      <c r="AQ96" s="137"/>
      <c r="AR96" s="137"/>
      <c r="AS96" s="137"/>
      <c r="AT96" s="137"/>
      <c r="AU96" s="137"/>
      <c r="AV96" s="136"/>
      <c r="AW96" s="156"/>
      <c r="AX96" s="156"/>
      <c r="AY96" s="156"/>
      <c r="AZ96" s="156"/>
      <c r="BA96" s="156"/>
      <c r="BB96" s="135"/>
      <c r="BC96" s="136"/>
      <c r="BD96" s="33"/>
      <c r="BE96" s="33"/>
      <c r="BF96" s="33"/>
      <c r="BG96" s="33"/>
      <c r="BH96" s="33"/>
    </row>
    <row r="97" spans="1:60" ht="15" x14ac:dyDescent="0.25">
      <c r="A97" s="33"/>
      <c r="B97" s="33"/>
      <c r="C97" s="135"/>
      <c r="D97" s="33"/>
      <c r="E97" s="33"/>
      <c r="F97" s="33"/>
      <c r="G97" s="33"/>
      <c r="H97" s="33"/>
      <c r="I97" s="33"/>
      <c r="J97" s="33"/>
      <c r="K97" s="33"/>
      <c r="L97" s="33"/>
      <c r="M97" s="33"/>
      <c r="N97" s="33"/>
      <c r="O97" s="33"/>
      <c r="P97" s="33"/>
      <c r="Q97" s="33"/>
      <c r="R97" s="33"/>
      <c r="S97" s="33"/>
      <c r="T97" s="33"/>
      <c r="U97" s="33"/>
      <c r="V97" s="33"/>
      <c r="W97" s="33"/>
      <c r="X97" s="33"/>
      <c r="AJ97" s="136"/>
      <c r="AK97" s="137"/>
      <c r="AL97" s="137"/>
      <c r="AM97" s="183"/>
      <c r="AN97" s="137"/>
      <c r="AO97" s="137"/>
      <c r="AP97" s="137"/>
      <c r="AQ97" s="137"/>
      <c r="AR97" s="137"/>
      <c r="AS97" s="137"/>
      <c r="AT97" s="137"/>
      <c r="AU97" s="137"/>
      <c r="AV97" s="136"/>
      <c r="AW97" s="156"/>
      <c r="AX97" s="142"/>
      <c r="AY97" s="156"/>
      <c r="AZ97" s="140"/>
      <c r="BA97" s="156"/>
      <c r="BB97" s="135"/>
      <c r="BC97" s="136"/>
      <c r="BD97" s="33"/>
      <c r="BE97" s="33"/>
      <c r="BF97" s="33"/>
      <c r="BG97" s="33"/>
      <c r="BH97" s="33"/>
    </row>
    <row r="98" spans="1:60" ht="15" x14ac:dyDescent="0.25">
      <c r="A98" s="33"/>
      <c r="B98" s="33"/>
      <c r="C98" s="135"/>
      <c r="D98" s="33"/>
      <c r="E98" s="33"/>
      <c r="F98" s="33"/>
      <c r="G98" s="33"/>
      <c r="H98" s="33"/>
      <c r="I98" s="33"/>
      <c r="J98" s="33"/>
      <c r="K98" s="33"/>
      <c r="L98" s="33"/>
      <c r="M98" s="33"/>
      <c r="N98" s="33"/>
      <c r="O98" s="33"/>
      <c r="P98" s="33"/>
      <c r="Q98" s="33"/>
      <c r="R98" s="33"/>
      <c r="S98" s="33"/>
      <c r="T98" s="33"/>
      <c r="U98" s="33"/>
      <c r="V98" s="33"/>
      <c r="W98" s="33"/>
      <c r="X98" s="33"/>
      <c r="AJ98" s="136"/>
      <c r="AK98" s="137"/>
      <c r="AL98" s="137"/>
      <c r="AM98" s="183"/>
      <c r="AN98" s="137"/>
      <c r="AO98" s="137"/>
      <c r="AP98" s="137"/>
      <c r="AQ98" s="137"/>
      <c r="AR98" s="137"/>
      <c r="AS98" s="137"/>
      <c r="AT98" s="137"/>
      <c r="AU98" s="137"/>
      <c r="AV98" s="136"/>
      <c r="AW98" s="156"/>
      <c r="AX98" s="142"/>
      <c r="AY98" s="156"/>
      <c r="AZ98" s="140"/>
      <c r="BA98" s="156"/>
      <c r="BB98" s="135"/>
      <c r="BC98" s="136"/>
      <c r="BD98" s="33"/>
      <c r="BE98" s="33"/>
      <c r="BF98" s="33"/>
      <c r="BG98" s="33"/>
      <c r="BH98" s="33"/>
    </row>
    <row r="99" spans="1:60" ht="15" x14ac:dyDescent="0.25">
      <c r="A99" s="33"/>
      <c r="B99" s="33"/>
      <c r="C99" s="135"/>
      <c r="D99" s="33"/>
      <c r="E99" s="33"/>
      <c r="F99" s="33"/>
      <c r="G99" s="33"/>
      <c r="H99" s="33"/>
      <c r="I99" s="33"/>
      <c r="J99" s="33"/>
      <c r="K99" s="33"/>
      <c r="L99" s="33"/>
      <c r="M99" s="33"/>
      <c r="N99" s="33"/>
      <c r="O99" s="33"/>
      <c r="P99" s="33"/>
      <c r="Q99" s="33"/>
      <c r="R99" s="33"/>
      <c r="S99" s="33"/>
      <c r="T99" s="33"/>
      <c r="U99" s="33"/>
      <c r="V99" s="33"/>
      <c r="W99" s="33"/>
      <c r="X99" s="33"/>
      <c r="AJ99" s="136"/>
      <c r="AK99" s="137"/>
      <c r="AL99" s="137"/>
      <c r="AM99" s="183"/>
      <c r="AN99" s="137"/>
      <c r="AO99" s="137"/>
      <c r="AP99" s="137"/>
      <c r="AQ99" s="137"/>
      <c r="AR99" s="137"/>
      <c r="AS99" s="137"/>
      <c r="AT99" s="137"/>
      <c r="AU99" s="137"/>
      <c r="AV99" s="136"/>
      <c r="AW99" s="156"/>
      <c r="AX99" s="142"/>
      <c r="AY99" s="156"/>
      <c r="AZ99" s="140"/>
      <c r="BA99" s="156"/>
      <c r="BB99" s="135"/>
      <c r="BC99" s="136"/>
      <c r="BD99" s="33"/>
      <c r="BE99" s="33"/>
      <c r="BF99" s="33"/>
      <c r="BG99" s="33"/>
      <c r="BH99" s="33"/>
    </row>
    <row r="100" spans="1:60" ht="15" x14ac:dyDescent="0.25">
      <c r="A100" s="33"/>
      <c r="B100" s="33"/>
      <c r="C100" s="135"/>
      <c r="D100" s="33"/>
      <c r="E100" s="33"/>
      <c r="F100" s="33"/>
      <c r="G100" s="33"/>
      <c r="H100" s="33"/>
      <c r="I100" s="33"/>
      <c r="J100" s="33"/>
      <c r="K100" s="33"/>
      <c r="L100" s="33"/>
      <c r="M100" s="33"/>
      <c r="N100" s="33"/>
      <c r="O100" s="33"/>
      <c r="P100" s="33"/>
      <c r="Q100" s="33"/>
      <c r="R100" s="33"/>
      <c r="S100" s="33"/>
      <c r="T100" s="33"/>
      <c r="U100" s="33"/>
      <c r="V100" s="33"/>
      <c r="W100" s="33"/>
      <c r="X100" s="33"/>
      <c r="AJ100" s="136"/>
      <c r="AK100" s="137"/>
      <c r="AL100" s="137"/>
      <c r="AM100" s="183"/>
      <c r="AN100" s="137"/>
      <c r="AO100" s="137"/>
      <c r="AP100" s="137"/>
      <c r="AQ100" s="137"/>
      <c r="AR100" s="137"/>
      <c r="AS100" s="137"/>
      <c r="AT100" s="137"/>
      <c r="AU100" s="137"/>
      <c r="AV100" s="136"/>
      <c r="AW100" s="156"/>
      <c r="AX100" s="142"/>
      <c r="AY100" s="156"/>
      <c r="AZ100" s="140"/>
      <c r="BA100" s="156"/>
      <c r="BB100" s="135"/>
      <c r="BC100" s="136"/>
      <c r="BD100" s="33"/>
      <c r="BE100" s="33"/>
      <c r="BF100" s="33"/>
      <c r="BG100" s="33"/>
      <c r="BH100" s="33"/>
    </row>
    <row r="101" spans="1:60" ht="15" x14ac:dyDescent="0.25">
      <c r="AJ101" s="136"/>
      <c r="AK101" s="137"/>
      <c r="AL101" s="137"/>
      <c r="AM101" s="183"/>
      <c r="AN101" s="137"/>
      <c r="AO101" s="137"/>
      <c r="AP101" s="137"/>
      <c r="AQ101" s="137"/>
      <c r="AR101" s="137"/>
      <c r="AS101" s="137"/>
      <c r="AT101" s="137"/>
      <c r="AU101" s="137"/>
      <c r="AV101" s="136"/>
      <c r="AW101" s="156"/>
      <c r="AX101" s="156"/>
      <c r="AY101" s="156"/>
      <c r="AZ101" s="156"/>
      <c r="BA101" s="156"/>
      <c r="BB101" s="135"/>
      <c r="BC101" s="136"/>
      <c r="BD101" s="33"/>
      <c r="BE101" s="33"/>
      <c r="BF101" s="33"/>
      <c r="BG101" s="33"/>
      <c r="BH101" s="33"/>
    </row>
    <row r="102" spans="1:60" ht="15" x14ac:dyDescent="0.25">
      <c r="AJ102" s="136"/>
      <c r="AK102" s="137"/>
      <c r="AL102" s="137"/>
      <c r="AM102" s="183"/>
      <c r="AN102" s="137"/>
      <c r="AO102" s="137"/>
      <c r="AP102" s="137"/>
      <c r="AQ102" s="137"/>
      <c r="AR102" s="137"/>
      <c r="AS102" s="137"/>
      <c r="AT102" s="137"/>
      <c r="AU102" s="137"/>
      <c r="AV102" s="136"/>
      <c r="AW102" s="156"/>
      <c r="AX102" s="156"/>
      <c r="AY102" s="156"/>
      <c r="AZ102" s="156"/>
      <c r="BA102" s="156"/>
      <c r="BB102" s="135"/>
      <c r="BC102" s="136"/>
      <c r="BD102" s="33"/>
      <c r="BE102" s="33"/>
      <c r="BF102" s="33"/>
      <c r="BG102" s="33"/>
      <c r="BH102" s="33"/>
    </row>
    <row r="103" spans="1:60" ht="15" x14ac:dyDescent="0.25">
      <c r="AJ103" s="136"/>
      <c r="AK103" s="137"/>
      <c r="AL103" s="137"/>
      <c r="AM103" s="183"/>
      <c r="AN103" s="137"/>
      <c r="AO103" s="137"/>
      <c r="AP103" s="137"/>
      <c r="AQ103" s="137"/>
      <c r="AR103" s="137"/>
      <c r="AS103" s="137"/>
      <c r="AT103" s="137"/>
      <c r="AU103" s="137"/>
      <c r="AV103" s="136"/>
      <c r="AW103" s="156"/>
      <c r="AX103" s="156"/>
      <c r="AY103" s="156"/>
      <c r="AZ103" s="156"/>
      <c r="BA103" s="156"/>
      <c r="BB103" s="135"/>
      <c r="BC103" s="136"/>
      <c r="BD103" s="33"/>
      <c r="BE103" s="33"/>
      <c r="BF103" s="33"/>
      <c r="BG103" s="33"/>
      <c r="BH103" s="33"/>
    </row>
    <row r="104" spans="1:60" x14ac:dyDescent="0.25">
      <c r="AJ104" s="136"/>
      <c r="AK104" s="137"/>
      <c r="AL104" s="137"/>
      <c r="AM104" s="137"/>
      <c r="AN104" s="137"/>
      <c r="AO104" s="137"/>
      <c r="AP104" s="137"/>
      <c r="AQ104" s="137"/>
      <c r="AR104" s="137"/>
      <c r="AS104" s="137"/>
      <c r="AT104" s="137"/>
      <c r="AU104" s="137"/>
      <c r="AV104" s="136"/>
      <c r="AW104" s="156"/>
      <c r="AX104" s="156"/>
      <c r="AY104" s="156"/>
      <c r="AZ104" s="156"/>
      <c r="BA104" s="156"/>
      <c r="BB104" s="135"/>
      <c r="BC104" s="136"/>
      <c r="BD104" s="33"/>
      <c r="BE104" s="33"/>
      <c r="BF104" s="33"/>
      <c r="BG104" s="33"/>
      <c r="BH104" s="33"/>
    </row>
    <row r="105" spans="1:60" x14ac:dyDescent="0.25">
      <c r="AJ105" s="135"/>
      <c r="AK105" s="145"/>
      <c r="AL105" s="145"/>
      <c r="AM105" s="145"/>
      <c r="AN105" s="145"/>
      <c r="AO105" s="145"/>
      <c r="AP105" s="145"/>
      <c r="AQ105" s="145"/>
      <c r="AR105" s="145"/>
      <c r="AS105" s="145"/>
      <c r="AT105" s="145"/>
      <c r="AU105" s="145"/>
      <c r="AV105" s="136"/>
      <c r="AW105" s="156"/>
      <c r="AX105" s="156"/>
      <c r="AY105" s="156"/>
      <c r="AZ105" s="156"/>
      <c r="BA105" s="156"/>
      <c r="BB105" s="135"/>
      <c r="BC105" s="135"/>
      <c r="BD105" s="33"/>
      <c r="BE105" s="33"/>
      <c r="BF105" s="33"/>
      <c r="BG105" s="33"/>
      <c r="BH105" s="33"/>
    </row>
    <row r="106" spans="1:60" ht="17.399999999999999" x14ac:dyDescent="0.3">
      <c r="AJ106" s="135"/>
      <c r="AK106" s="145"/>
      <c r="AL106" s="145"/>
      <c r="AM106" s="145"/>
      <c r="AN106" s="145"/>
      <c r="AO106" s="145"/>
      <c r="AP106" s="145"/>
      <c r="AQ106" s="145"/>
      <c r="AR106" s="145"/>
      <c r="AS106" s="146"/>
      <c r="AT106" s="145"/>
      <c r="AU106" s="145"/>
      <c r="AV106" s="136"/>
      <c r="AW106" s="136"/>
      <c r="AX106" s="136"/>
      <c r="AY106" s="136"/>
      <c r="AZ106" s="136"/>
      <c r="BA106" s="136"/>
      <c r="BB106" s="135"/>
      <c r="BC106" s="135"/>
      <c r="BD106" s="33"/>
      <c r="BE106" s="33"/>
      <c r="BF106" s="33"/>
      <c r="BG106" s="33"/>
      <c r="BH106" s="33"/>
    </row>
    <row r="107" spans="1:60" x14ac:dyDescent="0.25">
      <c r="AJ107" s="135"/>
      <c r="AK107" s="145"/>
      <c r="AL107" s="145"/>
      <c r="AM107" s="145"/>
      <c r="AN107" s="145"/>
      <c r="AO107" s="145"/>
      <c r="AP107" s="145"/>
      <c r="AQ107" s="145"/>
      <c r="AR107" s="145"/>
      <c r="AS107" s="145"/>
      <c r="AT107" s="145"/>
      <c r="AU107" s="145"/>
      <c r="AV107" s="498"/>
      <c r="AW107" s="499"/>
      <c r="AX107" s="499"/>
      <c r="AY107" s="499"/>
      <c r="AZ107" s="499"/>
      <c r="BA107" s="499"/>
      <c r="BB107" s="135"/>
      <c r="BC107" s="135"/>
      <c r="BD107" s="33"/>
      <c r="BE107" s="33"/>
      <c r="BF107" s="33"/>
      <c r="BG107" s="33"/>
      <c r="BH107" s="33"/>
    </row>
    <row r="108" spans="1:60" x14ac:dyDescent="0.25">
      <c r="AJ108" s="135"/>
      <c r="AK108" s="145"/>
      <c r="AL108" s="145"/>
      <c r="AM108" s="145"/>
      <c r="AN108" s="145"/>
      <c r="AO108" s="145"/>
      <c r="AP108" s="145"/>
      <c r="AQ108" s="145"/>
      <c r="AR108" s="145"/>
      <c r="AS108" s="145"/>
      <c r="AT108" s="145"/>
      <c r="AU108" s="145"/>
      <c r="AV108" s="136"/>
      <c r="AW108" s="142"/>
      <c r="AX108" s="142"/>
      <c r="AY108" s="142"/>
      <c r="AZ108" s="142"/>
      <c r="BA108" s="158"/>
      <c r="BB108" s="145"/>
      <c r="BC108" s="135"/>
      <c r="BD108" s="33"/>
      <c r="BE108" s="33"/>
      <c r="BF108" s="33"/>
      <c r="BG108" s="33"/>
      <c r="BH108" s="33"/>
    </row>
    <row r="109" spans="1:60" ht="15.6" x14ac:dyDescent="0.25">
      <c r="AJ109" s="33"/>
      <c r="AK109" s="33"/>
      <c r="AL109" s="33"/>
      <c r="AM109" s="33"/>
      <c r="AN109" s="33"/>
      <c r="AO109" s="33"/>
      <c r="AP109" s="33"/>
      <c r="AQ109" s="33"/>
      <c r="AR109" s="33"/>
      <c r="AS109" s="33"/>
      <c r="AT109" s="33"/>
      <c r="AU109" s="33"/>
      <c r="AV109" s="159"/>
      <c r="AW109" s="160"/>
      <c r="AX109" s="161"/>
      <c r="AY109" s="156"/>
      <c r="AZ109" s="162"/>
      <c r="BA109" s="163"/>
      <c r="BB109" s="135"/>
      <c r="BC109" s="33"/>
      <c r="BD109" s="33"/>
      <c r="BE109" s="33"/>
      <c r="BF109" s="33"/>
      <c r="BG109" s="33"/>
      <c r="BH109" s="33"/>
    </row>
    <row r="110" spans="1:60" ht="17.399999999999999" x14ac:dyDescent="0.25">
      <c r="AJ110" s="33"/>
      <c r="AK110" s="33"/>
      <c r="AL110" s="33"/>
      <c r="AM110" s="33"/>
      <c r="AN110" s="33"/>
      <c r="AO110" s="33"/>
      <c r="AP110" s="33"/>
      <c r="AQ110" s="33"/>
      <c r="AR110" s="33"/>
      <c r="AS110" s="33"/>
      <c r="AT110" s="33"/>
      <c r="AU110" s="33"/>
      <c r="AV110" s="159"/>
      <c r="AW110" s="160"/>
      <c r="AX110" s="161"/>
      <c r="AY110" s="156"/>
      <c r="AZ110" s="154"/>
      <c r="BA110" s="164"/>
      <c r="BB110" s="135"/>
      <c r="BC110" s="33"/>
      <c r="BD110" s="33"/>
      <c r="BE110" s="33"/>
      <c r="BF110" s="33"/>
      <c r="BG110" s="33"/>
      <c r="BH110" s="33"/>
    </row>
    <row r="111" spans="1:60" x14ac:dyDescent="0.25">
      <c r="AJ111" s="33"/>
      <c r="AK111" s="33"/>
      <c r="AL111" s="135"/>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row>
    <row r="112" spans="1:60" x14ac:dyDescent="0.25">
      <c r="AJ112" s="33"/>
      <c r="AK112" s="33"/>
      <c r="AL112" s="135"/>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row>
    <row r="113" spans="36:60" x14ac:dyDescent="0.25">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row>
    <row r="114" spans="36:60" x14ac:dyDescent="0.25">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row>
    <row r="115" spans="36:60" x14ac:dyDescent="0.25">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row>
    <row r="116" spans="36:60" x14ac:dyDescent="0.25">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row>
    <row r="117" spans="36:60" x14ac:dyDescent="0.25">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row>
    <row r="118" spans="36:60" x14ac:dyDescent="0.25">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row>
    <row r="119" spans="36:60" x14ac:dyDescent="0.25">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row>
  </sheetData>
  <sheetProtection password="FD77" sheet="1" objects="1" scenarios="1"/>
  <mergeCells count="18">
    <mergeCell ref="M92:R92"/>
    <mergeCell ref="AV107:BA107"/>
    <mergeCell ref="D51:E51"/>
    <mergeCell ref="I2:K2"/>
    <mergeCell ref="AA69:AF69"/>
    <mergeCell ref="D50:E50"/>
    <mergeCell ref="AV38:BA38"/>
    <mergeCell ref="G39:L41"/>
    <mergeCell ref="G37:L37"/>
    <mergeCell ref="G38:L38"/>
    <mergeCell ref="G42:L43"/>
    <mergeCell ref="Z45:AA45"/>
    <mergeCell ref="Z44:AA44"/>
    <mergeCell ref="AC35:AD35"/>
    <mergeCell ref="AE35:AF35"/>
    <mergeCell ref="AB31:AF31"/>
    <mergeCell ref="Z43:AA43"/>
    <mergeCell ref="Z42:AF42"/>
  </mergeCells>
  <phoneticPr fontId="15" type="noConversion"/>
  <conditionalFormatting sqref="F50">
    <cfRule type="cellIs" dxfId="6" priority="32" operator="greaterThan">
      <formula>$F$51</formula>
    </cfRule>
    <cfRule type="cellIs" dxfId="5" priority="33" operator="greaterThan">
      <formula>$F$51</formula>
    </cfRule>
  </conditionalFormatting>
  <conditionalFormatting sqref="X15:AB15">
    <cfRule type="expression" dxfId="4" priority="1">
      <formula>$AC$11&gt;=1*$Q$12</formula>
    </cfRule>
  </conditionalFormatting>
  <conditionalFormatting sqref="X10:AB10">
    <cfRule type="expression" dxfId="3" priority="5">
      <formula>$AC$11&gt;=0</formula>
    </cfRule>
  </conditionalFormatting>
  <conditionalFormatting sqref="X11:AB11">
    <cfRule type="expression" dxfId="2" priority="4">
      <formula>$AC$11&gt;=0.4*$Q$12</formula>
    </cfRule>
  </conditionalFormatting>
  <conditionalFormatting sqref="X12:AB13">
    <cfRule type="expression" dxfId="1" priority="3">
      <formula>$AC$11&gt;=0.6*$Q$12</formula>
    </cfRule>
  </conditionalFormatting>
  <conditionalFormatting sqref="X14:AB14">
    <cfRule type="expression" dxfId="0" priority="2">
      <formula>$AC$11&gt;=0.8*$Q$12</formula>
    </cfRule>
  </conditionalFormatting>
  <dataValidations xWindow="1351" yWindow="315" count="46">
    <dataValidation allowBlank="1" showInputMessage="1" showErrorMessage="1" prompt="The value in the cell to the left will only be used if you selected &quot;enter chemical properties&quot; from the dropdown menu, above. (row 6)_x000a_" sqref="L8:L9" xr:uid="{00000000-0002-0000-0300-000000000000}"/>
    <dataValidation allowBlank="1" showInputMessage="1" showErrorMessage="1" prompt="The values in this column (shown in red) will be used to calculate a GPL and Saturation Concentration once the &quot;Run GPL&quot; button has been clicked and selections are made on the &quot;Run GPL&quot; dialog box that pops up. " sqref="I5" xr:uid="{00000000-0002-0000-0300-000001000000}"/>
    <dataValidation allowBlank="1" showInputMessage="1" showErrorMessage="1" prompt="The value in the cell to the left will be overwritten if you select checkbox 2 or 3 of the Run GPL dialog box." sqref="L11:L12" xr:uid="{00000000-0002-0000-0300-000002000000}"/>
    <dataValidation type="list" allowBlank="1" showErrorMessage="1" prompt="Select a chemical or_x000a_&quot;Enter chemical properties&quot; for unlisted chemical" sqref="K6" xr:uid="{00000000-0002-0000-0300-000003000000}">
      <formula1>chemical2</formula1>
    </dataValidation>
    <dataValidation type="list" allowBlank="1" showErrorMessage="1" prompt="Select a soil type or&quot;new soil type&quot;" sqref="K15" xr:uid="{00000000-0002-0000-0300-000004000000}">
      <formula1>soils2</formula1>
    </dataValidation>
    <dataValidation allowBlank="1" showInputMessage="1" showErrorMessage="1" prompt="The value in the cell to the left will only be used if you selected &quot;enter chemical properties&quot; from the dropdown menu, above. (row 6)" sqref="L10" xr:uid="{00000000-0002-0000-0300-000005000000}"/>
    <dataValidation allowBlank="1" showInputMessage="1" showErrorMessage="1" prompt="The value in the cell to the left will only be used if you selected &quot;new soil type&quot; from the dropdown menu, above (row 15). " sqref="L17:L19" xr:uid="{00000000-0002-0000-0300-000006000000}"/>
    <dataValidation allowBlank="1" showInputMessage="1" showErrorMessage="1" prompt="The value in the cell to the left will be overwritten if you select checkbox 1 of the Run GPL dialog box." sqref="L20:L31" xr:uid="{00000000-0002-0000-0300-000007000000}"/>
    <dataValidation allowBlank="1" showInputMessage="1" showErrorMessage="1" prompt="Values manually entered in the cell to the left irrelevant. Data entered into the cell will be overwritten when you select checkbox 4 or 5 of the Run GPL dialog box. To set a manual step time, enter a value in the Run GPL dialog box. " sqref="L32" xr:uid="{00000000-0002-0000-0300-000008000000}"/>
    <dataValidation allowBlank="1" showInputMessage="1" showErrorMessage="1" prompt="Select a cell a cell with a dashed border to receive help on data entry and explanations of variables. " sqref="L2" xr:uid="{00000000-0002-0000-0300-000009000000}"/>
    <dataValidation allowBlank="1" showInputMessage="1" showErrorMessage="1" prompt="Liquid Diffusion Coefficient (Dg) - Indicates a substance's propensity to seek uniformity in an aqueous environment." sqref="H22" xr:uid="{00000000-0002-0000-0300-00000A000000}"/>
    <dataValidation allowBlank="1" showInputMessage="1" showErrorMessage="1" prompt="Depth of Incorporation (L) - Vertical distance from ground surface to bottom of vadose zone impact exceeding the minimum GPL. The Mixing Cell Diagram at the right of this sheet visually depicts this measurement." sqref="H25" xr:uid="{00000000-0002-0000-0300-00000B000000}"/>
    <dataValidation allowBlank="1" showInputMessage="1" showErrorMessage="1" prompt="The value in the cell to the left will always be used." sqref="L33:L34" xr:uid="{00000000-0002-0000-0300-00000C000000}"/>
    <dataValidation allowBlank="1" showInputMessage="1" showErrorMessage="1" prompt="The value in the cell to the left will always be used. _x000a_Note: This is not used for GPL or saturation limit calcs, but rather the graphs on tabs OutputJury1 and Output Jury2." sqref="L13" xr:uid="{00000000-0002-0000-0300-00000D000000}"/>
    <dataValidation allowBlank="1" showInputMessage="1" showErrorMessage="1" prompt="Porosity - a measure of how much fluid a soil can hold. There are assumed values for different soil types or a site-specific value can be determind with soil samples and geotechnical analysis." sqref="H16" xr:uid="{00000000-0002-0000-0300-00000E000000}"/>
    <dataValidation allowBlank="1" showInputMessage="1" showErrorMessage="1" prompt="Dry Bulk Density - Unit weight of dry soil. There are assumed values for different soil types or a site-specific value can be determind with soil samples and geotechnical analysis." sqref="H17" xr:uid="{00000000-0002-0000-0300-00000F000000}"/>
    <dataValidation allowBlank="1" showInputMessage="1" showErrorMessage="1" prompt="Moisture Content - The ratio of water to soil in a soil. There are assumed values for different soil types or a site-specific value can be determind with soil samples and geotechnical analysis." sqref="H18" xr:uid="{00000000-0002-0000-0300-000010000000}"/>
    <dataValidation allowBlank="1" showInputMessage="1" showErrorMessage="1" prompt="Fraction of Organic Carbon (Vadose Zone) - Ratio of organic carbon to soil in the vadose zone.  Minimum GPL assumes a default value or a site-specific value can be determind with soil samples and analysis." sqref="H19" xr:uid="{00000000-0002-0000-0300-000011000000}"/>
    <dataValidation allowBlank="1" showInputMessage="1" showErrorMessage="1" prompt="Fraction of Organic Carbon (Groundwater) - Ratio of organic carbon to soil in the saturated zone.  Minimum GPL assumes a default value or a site-specific value can be determind with soil samples and analysis." sqref="H20" xr:uid="{00000000-0002-0000-0300-000012000000}"/>
    <dataValidation allowBlank="1" showInputMessage="1" showErrorMessage="1" prompt="Diffusion Layer Thickness - The model simulates mass transfer from the vadose zone gas phase to the atmosphere using a diffusion layer. " sqref="H23" xr:uid="{00000000-0002-0000-0300-000013000000}"/>
    <dataValidation allowBlank="1" showInputMessage="1" showErrorMessage="1" prompt="Infiltration Rate (source area) - Recharge rate of water through the vadose zone. Minimum GPL assumes a default value or a site-specific value can be determind with soil samples and geotechnical analysis." sqref="H24" xr:uid="{00000000-0002-0000-0300-000014000000}"/>
    <dataValidation allowBlank="1" showInputMessage="1" showErrorMessage="1" prompt="Depth to water or Depth of Interest (Z) - This is the depth at which the graphs in tab OutputJury1 are associated. The Mixing Cell Diagram at the right of this sheet visually depicts this measurement." sqref="H26" xr:uid="{00000000-0002-0000-0300-000015000000}"/>
    <dataValidation allowBlank="1" showInputMessage="1" showErrorMessage="1" prompt="Distance to Compliance Point (Sc) - This is the horizontal distance between the vadoze zone contaminant source and a point of compliance monitoring well. The Mixing Cell Diagram at the right of this sheet visually depicts this measurement." sqref="H27" xr:uid="{00000000-0002-0000-0300-000016000000}"/>
    <dataValidation allowBlank="1" showInputMessage="1" showErrorMessage="1" prompt="Release Width (w) - Horizontal dimension of contaminated vadose zone parallel to the direction of groundwater flow. The Mixing Cell Diagram at the right of this sheet visually depicts this measurement." sqref="H28" xr:uid="{00000000-0002-0000-0300-000017000000}"/>
    <dataValidation allowBlank="1" showInputMessage="1" showErrorMessage="1" prompt="Well Screen Interval (s) - Length of the point of compliance monitoring well screen. The Mixing Cell Diagram at the right of this sheet visually depicts this measurement." sqref="H29" xr:uid="{00000000-0002-0000-0300-000018000000}"/>
    <dataValidation allowBlank="1" showInputMessage="1" showErrorMessage="1" prompt="Groundwater Velocity - Speed at which groundwater moves through the aquifer. Dimensions are length/time (Centimeters per day). Not to be confused with Darcy Velocity, which uses units of volume/time/area. " sqref="H30" xr:uid="{00000000-0002-0000-0300-000019000000}"/>
    <dataValidation allowBlank="1" showInputMessage="1" showErrorMessage="1" prompt="Infiltration Rate Outside Source - Recharge rate of water through the vadose zone between source area and point of compliance. Minimum GPL assumes a default value or a site-specific value can be determind with soil samples and geotechnical analysis." sqref="H31" xr:uid="{00000000-0002-0000-0300-00001A000000}"/>
    <dataValidation allowBlank="1" showInputMessage="1" showErrorMessage="1" prompt="Time Step - Time interval in days at which concentrations are calculated for graphs in tab JuryOutput1. A value that shows the peak concentration in the graphs should be selected. Checkbox 4 of GPL dialog box will try to find a value that shows the peak." sqref="H32" xr:uid="{00000000-0002-0000-0300-00001B000000}"/>
    <dataValidation allowBlank="1" showInputMessage="1" showErrorMessage="1" prompt="Gaseous Diffusion Coefficient (Dg) - Indicates a substance's propensity to seek uniformity in a gaseous environment." sqref="H21" xr:uid="{00000000-0002-0000-0300-00001C000000}"/>
    <dataValidation allowBlank="1" showInputMessage="1" showErrorMessage="1" prompt="Drop-Down List: Select a chemical or_x000a_&quot;Enter chemical properties&quot; for unlisted chemical" sqref="L6" xr:uid="{00000000-0002-0000-0300-00001D000000}"/>
    <dataValidation allowBlank="1" showInputMessage="1" showErrorMessage="1" prompt="Drop-Down List:Select a soil type or&quot;new soil type&quot;" sqref="L15" xr:uid="{00000000-0002-0000-0300-00001E000000}"/>
    <dataValidation allowBlank="1" showInputMessage="1" showErrorMessage="1" prompt="Extra Note on Water Quality Standard calculation value - The GPL model calculates the maximum soil concentration (GPL) that will yield this value in the point of compliance well." sqref="G10" xr:uid="{00000000-0002-0000-0300-00001F000000}"/>
    <dataValidation allowBlank="1" showInputMessage="1" showErrorMessage="1" prompt="Enter your site- and compound-specific data in this column. BUT NOTE that the values may be overwritten depending on selections made from the dropdown lists and Run GPL dialog box." sqref="L4 K5" xr:uid="{00000000-0002-0000-0300-000020000000}"/>
    <dataValidation allowBlank="1" showInputMessage="1" showErrorMessage="1" prompt="After running GPL, tells whether the model used the default value or the user entered custom value." sqref="J5" xr:uid="{00000000-0002-0000-0300-000021000000}"/>
    <dataValidation allowBlank="1" showInputMessage="1" showErrorMessage="1" prompt="Initial Soil Concentration - This is the concentration of the compound of interest that is used to create the graphs on tabs JuryOutput1 and JuryOutput2. The analytical results of soil samples in the source area are often used. " sqref="H13" xr:uid="{00000000-0002-0000-0300-000022000000}"/>
    <dataValidation allowBlank="1" showInputMessage="1" showErrorMessage="1" prompt="Water Quality Standard - The maximum allowable concentration of a cheimcal in water per legal regulation. If no legal regulation exists, this cell will populate with a risk-based concentration from the tab Lookup Table." sqref="H10" xr:uid="{00000000-0002-0000-0300-000023000000}"/>
    <dataValidation allowBlank="1" showInputMessage="1" showErrorMessage="1" prompt="Soil Distribution Coefficient - Substance's mobility through soil accounting for organic carbon in soil." sqref="H9" xr:uid="{00000000-0002-0000-0300-000024000000}"/>
    <dataValidation allowBlank="1" showInputMessage="1" showErrorMessage="1" prompt="Solubility in water - The maximum amount of something that will dissolve in water at a given temperature." sqref="H8" xr:uid="{00000000-0002-0000-0300-000025000000}"/>
    <dataValidation allowBlank="1" showInputMessage="1" showErrorMessage="1" prompt="Henry's Constant - The porportionality of a dissolved gas in a liquid to its partial pressure adjacent to the liquid. " sqref="H7" xr:uid="{00000000-0002-0000-0300-000026000000}"/>
    <dataValidation allowBlank="1" showInputMessage="1" showErrorMessage="1" prompt="Vadose Zone Half Life - Amount of time it takes for a compound residing in the vadose zone to be reduced by half._x000a_(minimum GPL default = 1,000 for petroleum hydrocarbons; = 100,000 other organics)" sqref="H11" xr:uid="{00000000-0002-0000-0300-000027000000}"/>
    <dataValidation allowBlank="1" showInputMessage="1" showErrorMessage="1" prompt="Depth Profile Time - Based on input concentration (Ct) in cell K13, Jury2 produces a soil concentration profile at the time specified in cell K33. Does not affect GPL calculation. " sqref="H33" xr:uid="{00000000-0002-0000-0300-000028000000}"/>
    <dataValidation allowBlank="1" showInputMessage="1" showErrorMessage="1" prompt="Total Vadose Zone Depth - Distance between land surface and groundwater. This input will set the max value of the tab JuryOutput2 X-axes." sqref="H34" xr:uid="{00000000-0002-0000-0300-000029000000}"/>
    <dataValidation allowBlank="1" showInputMessage="1" showErrorMessage="1" prompt="The value in the cell to the left will only be used if you selected &quot;new soil type&quot; from the dropdown menu, above (cell K15). " sqref="L16" xr:uid="{00000000-0002-0000-0300-00002A000000}"/>
    <dataValidation allowBlank="1" showInputMessage="1" showErrorMessage="1" prompt="The value in the cell to the left will only be used if you selected &quot;enter chemical properties&quot; from the dropdown menu, above. cell K6)_x000a_" sqref="L7" xr:uid="{00000000-0002-0000-0300-00002B000000}"/>
    <dataValidation allowBlank="1" showInputMessage="1" showErrorMessage="1" prompt="Concentration in soil at which the absorptive limits of the soil particles, the solubility limits of the soil pore water, and saturation of soil pore air have been reached." sqref="D51:E51" xr:uid="{00000000-0002-0000-0300-00002C000000}"/>
    <dataValidation allowBlank="1" showInputMessage="1" showErrorMessage="1" prompt="Groundwater Half Life - Amount of time it takes for a compound residing in groundwater to be reduced by half._x000a_(minimum GPL default = 1,000 for petroleum hydrocarbons; = 100,000 other organics)" sqref="H12" xr:uid="{00000000-0002-0000-0300-00002D000000}"/>
  </dataValidations>
  <pageMargins left="0.7" right="0.7" top="0.75" bottom="0.75" header="0.3" footer="0.3"/>
  <pageSetup scale="58" fitToWidth="0" orientation="landscape" r:id="rId1"/>
  <headerFooter alignWithMargins="0"/>
  <rowBreaks count="1" manualBreakCount="1">
    <brk id="53" max="16383" man="1"/>
  </rowBreaks>
  <colBreaks count="2" manualBreakCount="2">
    <brk id="13" max="52" man="1"/>
    <brk id="35" max="52" man="1"/>
  </colBreaks>
  <drawing r:id="rId2"/>
  <legacyDrawing r:id="rId3"/>
  <controls>
    <mc:AlternateContent xmlns:mc="http://schemas.openxmlformats.org/markup-compatibility/2006">
      <mc:Choice Requires="x14">
        <control shapeId="4180" r:id="rId4" name="CommandButton4">
          <controlPr defaultSize="0" autoLine="0" r:id="rId5">
            <anchor moveWithCells="1">
              <from>
                <xdr:col>3</xdr:col>
                <xdr:colOff>342900</xdr:colOff>
                <xdr:row>37</xdr:row>
                <xdr:rowOff>76200</xdr:rowOff>
              </from>
              <to>
                <xdr:col>4</xdr:col>
                <xdr:colOff>1661160</xdr:colOff>
                <xdr:row>40</xdr:row>
                <xdr:rowOff>144780</xdr:rowOff>
              </to>
            </anchor>
          </controlPr>
        </control>
      </mc:Choice>
      <mc:Fallback>
        <control shapeId="4180" r:id="rId4" name="CommandButton4"/>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O31"/>
  <sheetViews>
    <sheetView view="pageBreakPreview" zoomScale="85" zoomScaleNormal="85" zoomScaleSheetLayoutView="85" workbookViewId="0">
      <selection activeCell="L10" sqref="L10:M10"/>
    </sheetView>
  </sheetViews>
  <sheetFormatPr defaultColWidth="8.5546875" defaultRowHeight="14.4" x14ac:dyDescent="0.3"/>
  <cols>
    <col min="1" max="1" width="17.5546875" style="35" customWidth="1"/>
    <col min="2" max="15" width="11.77734375" style="35" customWidth="1"/>
    <col min="16" max="16384" width="8.5546875" style="35"/>
  </cols>
  <sheetData>
    <row r="1" spans="1:15" ht="53.85" customHeight="1" thickBot="1" x14ac:dyDescent="0.35">
      <c r="A1" s="565" t="s">
        <v>356</v>
      </c>
      <c r="B1" s="565"/>
      <c r="C1" s="565"/>
      <c r="D1" s="565"/>
      <c r="E1" s="565"/>
      <c r="F1" s="565"/>
      <c r="G1" s="565"/>
      <c r="H1" s="565"/>
      <c r="I1" s="565"/>
      <c r="J1" s="565"/>
      <c r="K1" s="565"/>
      <c r="L1" s="565"/>
      <c r="M1" s="565"/>
      <c r="N1" s="565"/>
      <c r="O1" s="565"/>
    </row>
    <row r="2" spans="1:15" s="37" customFormat="1" ht="30" customHeight="1" x14ac:dyDescent="0.3">
      <c r="A2" s="327"/>
      <c r="B2" s="102" t="s">
        <v>431</v>
      </c>
      <c r="C2" s="103" t="s">
        <v>426</v>
      </c>
      <c r="D2" s="104" t="s">
        <v>432</v>
      </c>
      <c r="E2" s="105" t="s">
        <v>426</v>
      </c>
      <c r="F2" s="106" t="s">
        <v>433</v>
      </c>
      <c r="G2" s="107" t="s">
        <v>426</v>
      </c>
      <c r="H2" s="108" t="s">
        <v>434</v>
      </c>
      <c r="I2" s="109" t="s">
        <v>426</v>
      </c>
      <c r="J2" s="110" t="s">
        <v>435</v>
      </c>
      <c r="K2" s="586" t="s">
        <v>426</v>
      </c>
      <c r="L2" s="583" t="s">
        <v>436</v>
      </c>
      <c r="M2" s="111" t="s">
        <v>426</v>
      </c>
      <c r="N2" s="112" t="s">
        <v>437</v>
      </c>
      <c r="O2" s="113" t="s">
        <v>426</v>
      </c>
    </row>
    <row r="3" spans="1:15" s="48" customFormat="1" x14ac:dyDescent="0.3">
      <c r="A3" s="329"/>
      <c r="B3" s="581"/>
      <c r="C3" s="50"/>
      <c r="D3" s="581"/>
      <c r="E3" s="50"/>
      <c r="F3" s="581"/>
      <c r="G3" s="50"/>
      <c r="H3" s="582"/>
      <c r="I3" s="608"/>
      <c r="J3" s="581"/>
      <c r="K3" s="50"/>
      <c r="L3" s="596"/>
      <c r="M3" s="582"/>
      <c r="N3" s="581"/>
      <c r="O3" s="50"/>
    </row>
    <row r="4" spans="1:15" s="48" customFormat="1" ht="15.6" x14ac:dyDescent="0.35">
      <c r="A4" s="330" t="s">
        <v>357</v>
      </c>
      <c r="B4" s="539" t="e">
        <f>B3/C3</f>
        <v>#DIV/0!</v>
      </c>
      <c r="C4" s="540"/>
      <c r="D4" s="539" t="e">
        <f>D3/E3</f>
        <v>#DIV/0!</v>
      </c>
      <c r="E4" s="540"/>
      <c r="F4" s="539" t="e">
        <f>F3/G3</f>
        <v>#DIV/0!</v>
      </c>
      <c r="G4" s="540"/>
      <c r="H4" s="566" t="e">
        <f>H3/I3</f>
        <v>#DIV/0!</v>
      </c>
      <c r="I4" s="567"/>
      <c r="J4" s="539" t="e">
        <f>J3/K3</f>
        <v>#DIV/0!</v>
      </c>
      <c r="K4" s="540"/>
      <c r="L4" s="584" t="e">
        <f>L3/M3</f>
        <v>#DIV/0!</v>
      </c>
      <c r="M4" s="564"/>
      <c r="N4" s="568" t="e">
        <f>N3/O3</f>
        <v>#DIV/0!</v>
      </c>
      <c r="O4" s="564"/>
    </row>
    <row r="5" spans="1:15" s="48" customFormat="1" ht="16.2" thickBot="1" x14ac:dyDescent="0.4">
      <c r="A5" s="330" t="s">
        <v>358</v>
      </c>
      <c r="B5" s="545">
        <v>6.0000000000000001E-3</v>
      </c>
      <c r="C5" s="542"/>
      <c r="D5" s="539">
        <v>0.05</v>
      </c>
      <c r="E5" s="540"/>
      <c r="F5" s="543">
        <v>2</v>
      </c>
      <c r="G5" s="544"/>
      <c r="H5" s="561">
        <v>4.0000000000000001E-3</v>
      </c>
      <c r="I5" s="562"/>
      <c r="J5" s="545">
        <v>5.0000000000000001E-3</v>
      </c>
      <c r="K5" s="542"/>
      <c r="L5" s="584">
        <v>0.1</v>
      </c>
      <c r="M5" s="564"/>
      <c r="N5" s="547">
        <v>1.3</v>
      </c>
      <c r="O5" s="548"/>
    </row>
    <row r="6" spans="1:15" s="48" customFormat="1" ht="38.85" customHeight="1" thickBot="1" x14ac:dyDescent="0.35">
      <c r="A6" s="331" t="s">
        <v>359</v>
      </c>
      <c r="B6" s="549" t="e">
        <f t="shared" ref="B6" si="0">292.9*B4*B5</f>
        <v>#DIV/0!</v>
      </c>
      <c r="C6" s="550"/>
      <c r="D6" s="551" t="e">
        <f t="shared" ref="D6" si="1">292.9*D4*D5</f>
        <v>#DIV/0!</v>
      </c>
      <c r="E6" s="552"/>
      <c r="F6" s="553" t="e">
        <f>292.9*F4*F5</f>
        <v>#DIV/0!</v>
      </c>
      <c r="G6" s="554"/>
      <c r="H6" s="555" t="e">
        <f t="shared" ref="H6" si="2">292.9*H4*H5</f>
        <v>#DIV/0!</v>
      </c>
      <c r="I6" s="556"/>
      <c r="J6" s="557" t="e">
        <f t="shared" ref="J6" si="3">292.9*J4*J5</f>
        <v>#DIV/0!</v>
      </c>
      <c r="K6" s="587"/>
      <c r="L6" s="585" t="e">
        <f t="shared" ref="L6" si="4">292.9*L4*L5</f>
        <v>#DIV/0!</v>
      </c>
      <c r="M6" s="558"/>
      <c r="N6" s="559" t="e">
        <f>292.9*N4*N5</f>
        <v>#DIV/0!</v>
      </c>
      <c r="O6" s="560"/>
    </row>
    <row r="7" spans="1:15" s="48" customFormat="1" ht="14.25" customHeight="1" thickBot="1" x14ac:dyDescent="0.35">
      <c r="A7" s="326"/>
      <c r="B7" s="329"/>
      <c r="C7" s="329"/>
      <c r="D7" s="329"/>
      <c r="E7" s="329"/>
      <c r="F7" s="326"/>
      <c r="G7" s="326"/>
      <c r="H7" s="329"/>
      <c r="I7" s="329"/>
      <c r="J7" s="546"/>
      <c r="K7" s="546"/>
      <c r="L7" s="326"/>
      <c r="M7" s="326"/>
      <c r="N7" s="329"/>
      <c r="O7" s="329"/>
    </row>
    <row r="8" spans="1:15" s="37" customFormat="1" ht="30" customHeight="1" x14ac:dyDescent="0.3">
      <c r="A8" s="327"/>
      <c r="B8" s="604" t="s">
        <v>430</v>
      </c>
      <c r="C8" s="605" t="s">
        <v>426</v>
      </c>
      <c r="D8" s="602" t="s">
        <v>429</v>
      </c>
      <c r="E8" s="114" t="s">
        <v>426</v>
      </c>
      <c r="F8" s="115" t="s">
        <v>428</v>
      </c>
      <c r="G8" s="116" t="s">
        <v>426</v>
      </c>
      <c r="H8" s="117" t="s">
        <v>427</v>
      </c>
      <c r="I8" s="591" t="s">
        <v>426</v>
      </c>
      <c r="J8" s="588" t="s">
        <v>438</v>
      </c>
      <c r="K8" s="593" t="s">
        <v>426</v>
      </c>
      <c r="L8" s="600" t="s">
        <v>587</v>
      </c>
      <c r="M8" s="601" t="s">
        <v>426</v>
      </c>
      <c r="N8" s="595" t="s">
        <v>587</v>
      </c>
      <c r="O8" s="114" t="s">
        <v>426</v>
      </c>
    </row>
    <row r="9" spans="1:15" s="48" customFormat="1" x14ac:dyDescent="0.3">
      <c r="A9" s="329"/>
      <c r="B9" s="581"/>
      <c r="C9" s="50"/>
      <c r="D9" s="596"/>
      <c r="E9" s="50"/>
      <c r="F9" s="581"/>
      <c r="G9" s="50"/>
      <c r="H9" s="581"/>
      <c r="I9" s="50"/>
      <c r="J9" s="596"/>
      <c r="K9" s="609"/>
      <c r="L9" s="581"/>
      <c r="M9" s="50"/>
      <c r="N9" s="596"/>
      <c r="O9" s="50"/>
    </row>
    <row r="10" spans="1:15" s="48" customFormat="1" ht="15.6" x14ac:dyDescent="0.35">
      <c r="A10" s="330" t="s">
        <v>357</v>
      </c>
      <c r="B10" s="539" t="e">
        <f>B9/C9</f>
        <v>#DIV/0!</v>
      </c>
      <c r="C10" s="540"/>
      <c r="D10" s="597" t="e">
        <f>D9/E9</f>
        <v>#DIV/0!</v>
      </c>
      <c r="E10" s="541"/>
      <c r="F10" s="539" t="e">
        <f>F9/G9</f>
        <v>#DIV/0!</v>
      </c>
      <c r="G10" s="540"/>
      <c r="H10" s="539" t="e">
        <f>H9/I9</f>
        <v>#DIV/0!</v>
      </c>
      <c r="I10" s="540"/>
      <c r="J10" s="589" t="e">
        <f>J9/K9</f>
        <v>#DIV/0!</v>
      </c>
      <c r="K10" s="563"/>
      <c r="L10" s="539" t="e">
        <f>L9/M9</f>
        <v>#DIV/0!</v>
      </c>
      <c r="M10" s="540"/>
      <c r="N10" s="597" t="e">
        <f>N9/O9</f>
        <v>#DIV/0!</v>
      </c>
      <c r="O10" s="541"/>
    </row>
    <row r="11" spans="1:15" s="48" customFormat="1" ht="16.2" thickBot="1" x14ac:dyDescent="0.4">
      <c r="A11" s="330" t="s">
        <v>358</v>
      </c>
      <c r="B11" s="539">
        <v>0.05</v>
      </c>
      <c r="C11" s="540"/>
      <c r="D11" s="603">
        <v>2E-3</v>
      </c>
      <c r="E11" s="542"/>
      <c r="F11" s="543">
        <v>0.1</v>
      </c>
      <c r="G11" s="544"/>
      <c r="H11" s="579">
        <v>0.05</v>
      </c>
      <c r="I11" s="579"/>
      <c r="J11" s="562">
        <v>2E-3</v>
      </c>
      <c r="K11" s="561"/>
      <c r="L11" s="610" t="s">
        <v>99</v>
      </c>
      <c r="M11" s="580"/>
      <c r="N11" s="598"/>
      <c r="O11" s="580"/>
    </row>
    <row r="12" spans="1:15" s="48" customFormat="1" ht="38.85" customHeight="1" thickBot="1" x14ac:dyDescent="0.35">
      <c r="A12" s="331" t="s">
        <v>359</v>
      </c>
      <c r="B12" s="606" t="e">
        <f t="shared" ref="B12" si="5">292.9*B10*B11</f>
        <v>#DIV/0!</v>
      </c>
      <c r="C12" s="607"/>
      <c r="D12" s="599" t="e">
        <f t="shared" ref="D12" si="6">292.9*D10*D11</f>
        <v>#DIV/0!</v>
      </c>
      <c r="E12" s="532"/>
      <c r="F12" s="534" t="e">
        <f>292.9*F10*F11</f>
        <v>#DIV/0!</v>
      </c>
      <c r="G12" s="535"/>
      <c r="H12" s="536" t="e">
        <f t="shared" ref="H12" si="7">292.9*H10*H11</f>
        <v>#DIV/0!</v>
      </c>
      <c r="I12" s="592"/>
      <c r="J12" s="590" t="e">
        <f t="shared" ref="J12" si="8">292.9*J10*J11</f>
        <v>#DIV/0!</v>
      </c>
      <c r="K12" s="594"/>
      <c r="L12" s="577" t="e">
        <f>292.9*L10*L11</f>
        <v>#DIV/0!</v>
      </c>
      <c r="M12" s="578"/>
      <c r="N12" s="599" t="e">
        <f t="shared" ref="N12" si="9">292.9*N10*N11</f>
        <v>#DIV/0!</v>
      </c>
      <c r="O12" s="532"/>
    </row>
    <row r="13" spans="1:15" s="48" customFormat="1" x14ac:dyDescent="0.3">
      <c r="A13" s="326"/>
      <c r="B13" s="326"/>
      <c r="C13" s="326"/>
      <c r="D13" s="329"/>
      <c r="E13" s="329"/>
      <c r="F13" s="326"/>
      <c r="G13" s="326"/>
      <c r="H13" s="329"/>
      <c r="I13" s="329"/>
      <c r="J13" s="326"/>
      <c r="K13" s="326"/>
      <c r="L13" s="326"/>
      <c r="M13" s="326"/>
      <c r="N13" s="326"/>
      <c r="O13" s="326"/>
    </row>
    <row r="14" spans="1:15" s="48" customFormat="1" ht="15.6" x14ac:dyDescent="0.35">
      <c r="A14" s="332" t="s">
        <v>360</v>
      </c>
      <c r="B14" s="333" t="s">
        <v>361</v>
      </c>
      <c r="C14" s="326"/>
      <c r="D14" s="326"/>
      <c r="E14" s="326"/>
      <c r="F14" s="326"/>
      <c r="G14" s="326"/>
      <c r="H14" s="326"/>
      <c r="I14" s="326"/>
      <c r="J14" s="326"/>
      <c r="K14" s="326"/>
      <c r="L14" s="326"/>
      <c r="M14" s="326"/>
      <c r="N14" s="326"/>
      <c r="O14" s="326"/>
    </row>
    <row r="15" spans="1:15" s="48" customFormat="1" ht="16.5" customHeight="1" x14ac:dyDescent="0.35">
      <c r="A15" s="334"/>
      <c r="B15" s="332" t="s">
        <v>362</v>
      </c>
      <c r="C15" s="335" t="s">
        <v>363</v>
      </c>
      <c r="D15" s="336"/>
      <c r="E15" s="336"/>
      <c r="F15" s="336"/>
      <c r="G15" s="336"/>
      <c r="H15" s="336"/>
      <c r="I15" s="336"/>
      <c r="J15" s="336"/>
      <c r="K15" s="326"/>
      <c r="L15" s="326"/>
      <c r="M15" s="326"/>
      <c r="N15" s="326"/>
      <c r="O15" s="326"/>
    </row>
    <row r="16" spans="1:15" s="48" customFormat="1" ht="15" customHeight="1" x14ac:dyDescent="0.3">
      <c r="A16" s="326"/>
      <c r="B16" s="332">
        <v>292.89999999999998</v>
      </c>
      <c r="C16" s="335" t="s">
        <v>369</v>
      </c>
      <c r="D16" s="337"/>
      <c r="E16" s="337"/>
      <c r="F16" s="337"/>
      <c r="G16" s="337"/>
      <c r="H16" s="337"/>
      <c r="I16" s="337"/>
      <c r="J16" s="337"/>
      <c r="K16" s="326"/>
      <c r="L16" s="326"/>
      <c r="M16" s="326"/>
      <c r="N16" s="326"/>
      <c r="O16" s="326"/>
    </row>
    <row r="17" spans="1:15" s="48" customFormat="1" ht="15.6" x14ac:dyDescent="0.35">
      <c r="A17" s="326"/>
      <c r="B17" s="332" t="s">
        <v>364</v>
      </c>
      <c r="C17" s="338" t="s">
        <v>439</v>
      </c>
      <c r="D17" s="326"/>
      <c r="E17" s="326"/>
      <c r="F17" s="326"/>
      <c r="G17" s="326"/>
      <c r="H17" s="326"/>
      <c r="I17" s="326"/>
      <c r="J17" s="326"/>
      <c r="K17" s="326"/>
      <c r="L17" s="326"/>
      <c r="M17" s="326"/>
      <c r="N17" s="326"/>
      <c r="O17" s="326"/>
    </row>
    <row r="18" spans="1:15" s="48" customFormat="1" ht="15.6" x14ac:dyDescent="0.35">
      <c r="A18" s="326"/>
      <c r="B18" s="332" t="s">
        <v>365</v>
      </c>
      <c r="C18" s="338" t="s">
        <v>440</v>
      </c>
      <c r="D18" s="326"/>
      <c r="E18" s="326"/>
      <c r="F18" s="326"/>
      <c r="G18" s="326"/>
      <c r="H18" s="326"/>
      <c r="I18" s="326"/>
      <c r="J18" s="326"/>
      <c r="K18" s="326"/>
      <c r="L18" s="326"/>
      <c r="M18" s="326"/>
      <c r="N18" s="326"/>
      <c r="O18" s="326"/>
    </row>
    <row r="19" spans="1:15" s="48" customFormat="1" ht="18" customHeight="1" x14ac:dyDescent="0.3">
      <c r="A19" s="326"/>
      <c r="B19" s="332" t="s">
        <v>366</v>
      </c>
      <c r="C19" s="537" t="s">
        <v>424</v>
      </c>
      <c r="D19" s="538"/>
      <c r="E19" s="538"/>
      <c r="F19" s="538"/>
      <c r="G19" s="538"/>
      <c r="H19" s="538"/>
      <c r="I19" s="538"/>
      <c r="J19" s="538"/>
      <c r="K19" s="538"/>
      <c r="L19" s="538"/>
      <c r="M19" s="538"/>
      <c r="N19" s="326"/>
      <c r="O19" s="326"/>
    </row>
    <row r="20" spans="1:15" s="48" customFormat="1" ht="18" customHeight="1" x14ac:dyDescent="0.3">
      <c r="A20" s="326"/>
      <c r="B20" s="334"/>
      <c r="C20" s="538"/>
      <c r="D20" s="538"/>
      <c r="E20" s="538"/>
      <c r="F20" s="538"/>
      <c r="G20" s="538"/>
      <c r="H20" s="538"/>
      <c r="I20" s="538"/>
      <c r="J20" s="538"/>
      <c r="K20" s="538"/>
      <c r="L20" s="538"/>
      <c r="M20" s="538"/>
      <c r="N20" s="326"/>
      <c r="O20" s="326"/>
    </row>
    <row r="21" spans="1:15" s="48" customFormat="1" ht="18" customHeight="1" x14ac:dyDescent="0.3">
      <c r="A21" s="326"/>
      <c r="B21" s="334"/>
      <c r="C21" s="538"/>
      <c r="D21" s="538"/>
      <c r="E21" s="538"/>
      <c r="F21" s="538"/>
      <c r="G21" s="538"/>
      <c r="H21" s="538"/>
      <c r="I21" s="538"/>
      <c r="J21" s="538"/>
      <c r="K21" s="538"/>
      <c r="L21" s="538"/>
      <c r="M21" s="538"/>
      <c r="N21" s="326"/>
      <c r="O21" s="326"/>
    </row>
    <row r="22" spans="1:15" s="48" customFormat="1" ht="15.6" x14ac:dyDescent="0.35">
      <c r="A22" s="326"/>
      <c r="B22" s="332" t="s">
        <v>367</v>
      </c>
      <c r="C22" s="335" t="s">
        <v>368</v>
      </c>
      <c r="D22" s="336"/>
      <c r="E22" s="336"/>
      <c r="F22" s="336"/>
      <c r="G22" s="336"/>
      <c r="H22" s="336"/>
      <c r="I22" s="336"/>
      <c r="J22" s="336"/>
      <c r="K22" s="326"/>
      <c r="L22" s="326"/>
      <c r="M22" s="326"/>
      <c r="N22" s="326"/>
      <c r="O22" s="326"/>
    </row>
    <row r="23" spans="1:15" s="48" customFormat="1" x14ac:dyDescent="0.3">
      <c r="A23" s="326"/>
      <c r="B23" s="332"/>
      <c r="C23" s="335"/>
      <c r="D23" s="336"/>
      <c r="E23" s="336"/>
      <c r="F23" s="336"/>
      <c r="G23" s="336"/>
      <c r="H23" s="336"/>
      <c r="I23" s="336"/>
      <c r="J23" s="336"/>
      <c r="K23" s="326"/>
      <c r="L23" s="326"/>
      <c r="M23" s="326"/>
      <c r="N23" s="326"/>
      <c r="O23" s="326"/>
    </row>
    <row r="24" spans="1:15" s="48" customFormat="1" x14ac:dyDescent="0.3">
      <c r="A24" s="330" t="s">
        <v>370</v>
      </c>
      <c r="B24" s="326" t="s">
        <v>371</v>
      </c>
      <c r="C24" s="326"/>
      <c r="D24" s="329"/>
      <c r="E24" s="329"/>
      <c r="F24" s="326"/>
      <c r="G24" s="326"/>
      <c r="H24" s="329"/>
      <c r="I24" s="329"/>
      <c r="J24" s="326"/>
      <c r="K24" s="326"/>
      <c r="L24" s="326"/>
      <c r="M24" s="326"/>
      <c r="N24" s="326"/>
      <c r="O24" s="326"/>
    </row>
    <row r="25" spans="1:15" s="48" customFormat="1" ht="15.6" x14ac:dyDescent="0.35">
      <c r="A25" s="326"/>
      <c r="B25" s="339" t="s">
        <v>372</v>
      </c>
      <c r="C25" s="326"/>
      <c r="D25" s="326"/>
      <c r="E25" s="326"/>
      <c r="F25" s="326"/>
      <c r="G25" s="326"/>
      <c r="H25" s="326"/>
      <c r="I25" s="326"/>
      <c r="J25" s="326"/>
      <c r="K25" s="326"/>
      <c r="L25" s="326"/>
      <c r="M25" s="326"/>
      <c r="N25" s="326"/>
      <c r="O25" s="326"/>
    </row>
    <row r="26" spans="1:15" x14ac:dyDescent="0.3">
      <c r="A26" s="326"/>
      <c r="B26" s="326" t="s">
        <v>373</v>
      </c>
      <c r="C26" s="326"/>
      <c r="D26" s="326"/>
      <c r="E26" s="326"/>
      <c r="F26" s="326"/>
      <c r="G26" s="326"/>
      <c r="H26" s="326"/>
      <c r="I26" s="326"/>
      <c r="J26" s="326"/>
      <c r="K26" s="326"/>
      <c r="L26" s="326"/>
      <c r="M26" s="326"/>
      <c r="N26" s="326"/>
      <c r="O26" s="326"/>
    </row>
    <row r="27" spans="1:15" x14ac:dyDescent="0.3">
      <c r="A27" s="326"/>
      <c r="B27" s="326" t="s">
        <v>374</v>
      </c>
      <c r="C27" s="326"/>
      <c r="D27" s="326"/>
      <c r="E27" s="326"/>
      <c r="F27" s="326"/>
      <c r="G27" s="326"/>
      <c r="H27" s="326"/>
      <c r="I27" s="326"/>
      <c r="J27" s="326"/>
      <c r="K27" s="326"/>
      <c r="L27" s="326"/>
      <c r="M27" s="326"/>
      <c r="N27" s="326"/>
      <c r="O27" s="326"/>
    </row>
    <row r="28" spans="1:15" x14ac:dyDescent="0.3">
      <c r="A28" s="326"/>
      <c r="B28" s="326" t="s">
        <v>375</v>
      </c>
      <c r="C28" s="326"/>
      <c r="D28" s="326"/>
      <c r="E28" s="326"/>
      <c r="F28" s="326"/>
      <c r="G28" s="326"/>
      <c r="H28" s="326"/>
      <c r="I28" s="326"/>
      <c r="J28" s="326"/>
      <c r="K28" s="326"/>
      <c r="L28" s="326"/>
      <c r="M28" s="326"/>
      <c r="N28" s="326"/>
      <c r="O28" s="326"/>
    </row>
    <row r="29" spans="1:15" x14ac:dyDescent="0.3">
      <c r="A29" s="326"/>
      <c r="B29" s="326" t="s">
        <v>376</v>
      </c>
      <c r="C29" s="326"/>
      <c r="D29" s="326"/>
      <c r="E29" s="326"/>
      <c r="F29" s="326"/>
      <c r="G29" s="326"/>
      <c r="H29" s="326"/>
      <c r="I29" s="326"/>
      <c r="J29" s="326"/>
      <c r="K29" s="326"/>
      <c r="L29" s="326"/>
      <c r="M29" s="326"/>
      <c r="N29" s="326"/>
      <c r="O29" s="326"/>
    </row>
    <row r="30" spans="1:15" x14ac:dyDescent="0.3">
      <c r="A30" s="326"/>
      <c r="B30" s="533" t="s">
        <v>425</v>
      </c>
      <c r="C30" s="496"/>
      <c r="D30" s="496"/>
      <c r="E30" s="496"/>
      <c r="F30" s="496"/>
      <c r="G30" s="496"/>
      <c r="H30" s="496"/>
      <c r="I30" s="496"/>
      <c r="J30" s="496"/>
      <c r="K30" s="326"/>
      <c r="L30" s="326"/>
      <c r="M30" s="326"/>
      <c r="N30" s="326"/>
      <c r="O30" s="326"/>
    </row>
    <row r="31" spans="1:15" x14ac:dyDescent="0.3">
      <c r="A31" s="326"/>
      <c r="B31" s="496"/>
      <c r="C31" s="496"/>
      <c r="D31" s="496"/>
      <c r="E31" s="496"/>
      <c r="F31" s="496"/>
      <c r="G31" s="496"/>
      <c r="H31" s="496"/>
      <c r="I31" s="496"/>
      <c r="J31" s="496"/>
      <c r="K31" s="326"/>
      <c r="L31" s="326"/>
      <c r="M31" s="326"/>
      <c r="N31" s="326"/>
      <c r="O31" s="326"/>
    </row>
  </sheetData>
  <sheetProtection algorithmName="SHA-512" hashValue="k1bDYqjTKwOyfkvSrO1KS/i1soglxDdckLHr7yxsNHzERvpcAyJW4FwARyp/pDpOVQ8tfw5K3QcjYA69oVcV6Q==" saltValue="RmNgPtfJKFOtpz9VaXtM3w==" spinCount="100000" sheet="1" objects="1" scenarios="1"/>
  <mergeCells count="46">
    <mergeCell ref="A1:O1"/>
    <mergeCell ref="B4:C4"/>
    <mergeCell ref="D4:E4"/>
    <mergeCell ref="F4:G4"/>
    <mergeCell ref="H4:I4"/>
    <mergeCell ref="J4:K4"/>
    <mergeCell ref="L4:M4"/>
    <mergeCell ref="N4:O4"/>
    <mergeCell ref="N5:O5"/>
    <mergeCell ref="B6:C6"/>
    <mergeCell ref="D6:E6"/>
    <mergeCell ref="F6:G6"/>
    <mergeCell ref="H6:I6"/>
    <mergeCell ref="J6:K6"/>
    <mergeCell ref="L6:M6"/>
    <mergeCell ref="N6:O6"/>
    <mergeCell ref="B5:C5"/>
    <mergeCell ref="D5:E5"/>
    <mergeCell ref="F5:G5"/>
    <mergeCell ref="H5:I5"/>
    <mergeCell ref="J5:K5"/>
    <mergeCell ref="L5:M5"/>
    <mergeCell ref="J7:K7"/>
    <mergeCell ref="B10:C10"/>
    <mergeCell ref="D10:E10"/>
    <mergeCell ref="F10:G10"/>
    <mergeCell ref="H10:I10"/>
    <mergeCell ref="J10:K10"/>
    <mergeCell ref="L10:M10"/>
    <mergeCell ref="N10:O10"/>
    <mergeCell ref="B11:C11"/>
    <mergeCell ref="D11:E11"/>
    <mergeCell ref="F11:G11"/>
    <mergeCell ref="H11:I11"/>
    <mergeCell ref="J11:K11"/>
    <mergeCell ref="L11:M11"/>
    <mergeCell ref="N11:O11"/>
    <mergeCell ref="N12:O12"/>
    <mergeCell ref="B30:J31"/>
    <mergeCell ref="B12:C12"/>
    <mergeCell ref="D12:E12"/>
    <mergeCell ref="F12:G12"/>
    <mergeCell ref="H12:I12"/>
    <mergeCell ref="J12:K12"/>
    <mergeCell ref="L12:M12"/>
    <mergeCell ref="C19:M21"/>
  </mergeCells>
  <dataValidations count="4">
    <dataValidation allowBlank="1" showInputMessage="1" showErrorMessage="1" prompt="Total metals concentration_x000a_in mg/kg" sqref="D9" xr:uid="{00000000-0002-0000-0400-000000000000}"/>
    <dataValidation allowBlank="1" showInputMessage="1" showErrorMessage="1" prompt="Enter total metals concentration in mg/kg, below" sqref="B2 D2 F2 H2 J2 L2 N2 N8 B8 J8 H8 F8 D8 L8" xr:uid="{00000000-0002-0000-0400-000001000000}"/>
    <dataValidation allowBlank="1" showInputMessage="1" showErrorMessage="1" prompt="Enter SPLP or TCLP concentration in mg/L, below" sqref="C2 G2 I2 K2 M2 O2 O8 C8 K8 I8 G8 E8 M8" xr:uid="{00000000-0002-0000-0400-000002000000}"/>
    <dataValidation allowBlank="1" showInputMessage="1" showErrorMessage="1" prompt="As opposed to an AWQS, the MCL for Copper (1.3 mg/L) is used in this cell." sqref="N5:O5" xr:uid="{00000000-0002-0000-0400-000003000000}"/>
  </dataValidations>
  <pageMargins left="0.7" right="0.7" top="0.75" bottom="0.75" header="0.3" footer="0.3"/>
  <pageSetup paperSize="3" scale="7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O79"/>
  <sheetViews>
    <sheetView view="pageBreakPreview" zoomScale="85" zoomScaleNormal="55" zoomScaleSheetLayoutView="85" workbookViewId="0">
      <selection activeCell="O14" sqref="O14"/>
    </sheetView>
  </sheetViews>
  <sheetFormatPr defaultColWidth="9.21875" defaultRowHeight="13.2" x14ac:dyDescent="0.25"/>
  <cols>
    <col min="1" max="5" width="9.21875" style="1"/>
    <col min="6" max="6" width="11" style="1" customWidth="1"/>
    <col min="7" max="7" width="30.5546875" style="1" customWidth="1"/>
    <col min="8" max="8" width="23.44140625" style="1" customWidth="1"/>
    <col min="9" max="9" width="6" style="1" customWidth="1"/>
    <col min="10" max="10" width="9" style="1" customWidth="1"/>
    <col min="11" max="13" width="9.21875" style="1" hidden="1" customWidth="1"/>
    <col min="14" max="16384" width="9.21875" style="1"/>
  </cols>
  <sheetData>
    <row r="1" spans="1:15" x14ac:dyDescent="0.25">
      <c r="A1" s="235">
        <v>39602</v>
      </c>
      <c r="B1" s="340"/>
      <c r="C1" s="340"/>
      <c r="D1" s="340"/>
      <c r="E1" s="340"/>
      <c r="F1" s="340"/>
      <c r="G1" s="340"/>
      <c r="H1" s="340"/>
    </row>
    <row r="2" spans="1:15" x14ac:dyDescent="0.25">
      <c r="A2" s="340"/>
      <c r="B2" s="340"/>
      <c r="C2" s="340"/>
      <c r="D2" s="340"/>
      <c r="E2" s="340"/>
      <c r="F2" s="340"/>
      <c r="G2" s="340"/>
      <c r="H2" s="340"/>
    </row>
    <row r="3" spans="1:15" ht="21" x14ac:dyDescent="0.4">
      <c r="A3" s="492" t="s">
        <v>584</v>
      </c>
      <c r="B3" s="340"/>
      <c r="C3" s="340"/>
      <c r="D3" s="340"/>
      <c r="E3" s="340"/>
      <c r="F3" s="340"/>
      <c r="G3" s="340"/>
      <c r="H3" s="340"/>
    </row>
    <row r="4" spans="1:15" x14ac:dyDescent="0.25">
      <c r="A4" s="340"/>
      <c r="B4" s="340"/>
      <c r="C4" s="340"/>
      <c r="D4" s="340"/>
      <c r="E4" s="340"/>
      <c r="F4" s="340"/>
      <c r="G4" s="340"/>
      <c r="H4" s="340"/>
      <c r="I4" s="9"/>
    </row>
    <row r="5" spans="1:15" x14ac:dyDescent="0.25">
      <c r="A5" s="340" t="s">
        <v>315</v>
      </c>
      <c r="B5" s="340"/>
      <c r="C5" s="340"/>
      <c r="D5" s="340"/>
      <c r="E5" s="340"/>
      <c r="F5" s="340"/>
      <c r="G5" s="340"/>
      <c r="H5" s="340"/>
      <c r="J5" s="32"/>
    </row>
    <row r="6" spans="1:15" x14ac:dyDescent="0.25">
      <c r="A6" s="340"/>
      <c r="B6" s="340"/>
      <c r="C6" s="340"/>
      <c r="D6" s="340"/>
      <c r="E6" s="340"/>
      <c r="F6" s="340"/>
      <c r="G6" s="340"/>
      <c r="H6" s="340"/>
    </row>
    <row r="7" spans="1:15" x14ac:dyDescent="0.25">
      <c r="A7" s="341" t="s">
        <v>490</v>
      </c>
      <c r="B7" s="340"/>
      <c r="C7" s="340"/>
      <c r="D7" s="340"/>
      <c r="E7" s="340"/>
      <c r="F7" s="340"/>
      <c r="G7" s="340"/>
      <c r="H7" s="340"/>
    </row>
    <row r="8" spans="1:15" x14ac:dyDescent="0.25">
      <c r="A8" s="340"/>
      <c r="B8" s="340"/>
      <c r="C8" s="340"/>
      <c r="D8" s="340"/>
      <c r="E8" s="340"/>
      <c r="F8" s="340"/>
      <c r="G8" s="340"/>
      <c r="H8" s="340"/>
    </row>
    <row r="9" spans="1:15" x14ac:dyDescent="0.25">
      <c r="A9" s="340" t="s">
        <v>316</v>
      </c>
      <c r="B9" s="340"/>
      <c r="C9" s="340"/>
      <c r="D9" s="340"/>
      <c r="E9" s="340"/>
      <c r="F9" s="340"/>
      <c r="G9" s="340"/>
      <c r="H9" s="340"/>
    </row>
    <row r="10" spans="1:15" x14ac:dyDescent="0.25">
      <c r="A10" s="340"/>
      <c r="B10" s="340"/>
      <c r="C10" s="340"/>
      <c r="D10" s="340"/>
      <c r="E10" s="340"/>
      <c r="F10" s="340"/>
      <c r="G10" s="340"/>
      <c r="H10" s="340"/>
    </row>
    <row r="11" spans="1:15" x14ac:dyDescent="0.25">
      <c r="A11" s="340" t="s">
        <v>317</v>
      </c>
      <c r="B11" s="340"/>
      <c r="C11" s="340"/>
      <c r="D11" s="340"/>
      <c r="E11" s="340"/>
      <c r="F11" s="340"/>
      <c r="G11" s="340"/>
      <c r="H11" s="340"/>
    </row>
    <row r="12" spans="1:15" ht="15" x14ac:dyDescent="0.25">
      <c r="A12" s="340"/>
      <c r="B12" s="340"/>
      <c r="C12" s="340"/>
      <c r="D12" s="340"/>
      <c r="E12" s="340"/>
      <c r="F12" s="340"/>
      <c r="G12" s="343"/>
      <c r="H12" s="340"/>
      <c r="I12" s="90"/>
    </row>
    <row r="13" spans="1:15" x14ac:dyDescent="0.25">
      <c r="A13" s="340"/>
      <c r="B13" s="340"/>
      <c r="C13" s="340"/>
      <c r="D13" s="340"/>
      <c r="E13" s="340"/>
      <c r="F13" s="340"/>
      <c r="G13" s="344"/>
      <c r="H13" s="340"/>
    </row>
    <row r="14" spans="1:15" ht="15" x14ac:dyDescent="0.25">
      <c r="A14" s="340" t="s">
        <v>341</v>
      </c>
      <c r="B14" s="340"/>
      <c r="C14" s="340"/>
      <c r="D14" s="340"/>
      <c r="E14" s="340"/>
      <c r="F14" s="340"/>
      <c r="G14" s="453" t="s">
        <v>200</v>
      </c>
      <c r="H14" s="342"/>
    </row>
    <row r="15" spans="1:15" ht="15.6" x14ac:dyDescent="0.3">
      <c r="A15" s="340"/>
      <c r="B15" s="340"/>
      <c r="C15" s="340"/>
      <c r="D15" s="340"/>
      <c r="E15" s="340"/>
      <c r="F15" s="452" t="s">
        <v>312</v>
      </c>
      <c r="G15" s="344"/>
      <c r="H15" s="452" t="s">
        <v>244</v>
      </c>
    </row>
    <row r="16" spans="1:15" x14ac:dyDescent="0.25">
      <c r="A16" s="449" t="s">
        <v>522</v>
      </c>
      <c r="B16" s="450"/>
      <c r="C16" s="450"/>
      <c r="D16" s="450"/>
      <c r="E16" s="451"/>
      <c r="F16" s="345">
        <f>$H16</f>
        <v>1E-3</v>
      </c>
      <c r="G16" s="440"/>
      <c r="H16" s="18">
        <v>1E-3</v>
      </c>
      <c r="O16" s="10"/>
    </row>
    <row r="17" spans="1:15" x14ac:dyDescent="0.25">
      <c r="A17" s="449" t="s">
        <v>521</v>
      </c>
      <c r="B17" s="450"/>
      <c r="C17" s="450"/>
      <c r="D17" s="450"/>
      <c r="E17" s="451"/>
      <c r="F17" s="345">
        <f>IF($G$14="Enter chemical properties",$H17,VLOOKUP($G$14,'Lookup Table'!A8:J79,2))</f>
        <v>182</v>
      </c>
      <c r="G17" s="440"/>
      <c r="H17" s="18">
        <v>1</v>
      </c>
      <c r="O17" s="10"/>
    </row>
    <row r="18" spans="1:15" x14ac:dyDescent="0.25">
      <c r="A18" s="449" t="s">
        <v>516</v>
      </c>
      <c r="B18" s="450"/>
      <c r="C18" s="450"/>
      <c r="D18" s="450"/>
      <c r="E18" s="451"/>
      <c r="F18" s="345">
        <f>IF($G$14="Enter chemical properties",$H18,VLOOKUP($G$14,'Lookup Table'!A8:J79,3))</f>
        <v>0.27200000000000002</v>
      </c>
      <c r="G18" s="440"/>
      <c r="H18" s="18">
        <v>1</v>
      </c>
      <c r="O18" s="10"/>
    </row>
    <row r="19" spans="1:15" x14ac:dyDescent="0.25">
      <c r="A19" s="449" t="s">
        <v>523</v>
      </c>
      <c r="B19" s="450"/>
      <c r="C19" s="450"/>
      <c r="D19" s="450"/>
      <c r="E19" s="451"/>
      <c r="F19" s="345">
        <f>IF($G$14="Enter chemical properties",$H19,VLOOKUP($G$14,'Lookup Table'!A8:J79,4))</f>
        <v>530</v>
      </c>
      <c r="G19" s="440"/>
      <c r="H19" s="18">
        <v>1</v>
      </c>
      <c r="O19" s="10"/>
    </row>
    <row r="20" spans="1:15" x14ac:dyDescent="0.25">
      <c r="A20" s="340"/>
      <c r="B20" s="340"/>
      <c r="C20" s="340"/>
      <c r="D20" s="340"/>
      <c r="E20" s="340"/>
      <c r="F20" s="344"/>
      <c r="G20" s="344"/>
      <c r="H20" s="348"/>
      <c r="O20" s="10"/>
    </row>
    <row r="21" spans="1:15" ht="15" x14ac:dyDescent="0.25">
      <c r="A21" s="340" t="s">
        <v>342</v>
      </c>
      <c r="B21" s="340"/>
      <c r="C21" s="340"/>
      <c r="D21" s="340"/>
      <c r="E21" s="340"/>
      <c r="F21" s="344"/>
      <c r="G21" s="453" t="s">
        <v>235</v>
      </c>
      <c r="H21" s="342"/>
      <c r="O21" s="10"/>
    </row>
    <row r="22" spans="1:15" ht="15" x14ac:dyDescent="0.25">
      <c r="A22" s="340"/>
      <c r="B22" s="340"/>
      <c r="C22" s="340"/>
      <c r="D22" s="340"/>
      <c r="E22" s="340"/>
      <c r="F22" s="344"/>
      <c r="G22" s="344"/>
      <c r="H22" s="342"/>
      <c r="O22" s="10"/>
    </row>
    <row r="23" spans="1:15" x14ac:dyDescent="0.25">
      <c r="A23" s="450" t="s">
        <v>109</v>
      </c>
      <c r="B23" s="450"/>
      <c r="C23" s="450"/>
      <c r="D23" s="450"/>
      <c r="E23" s="451"/>
      <c r="F23" s="345">
        <f>IF($G$21="New Soil Type",$H$23,VLOOKUP($G$21,'Lookup Table'!B99:F109,4))</f>
        <v>1.38</v>
      </c>
      <c r="G23" s="440"/>
      <c r="H23" s="18">
        <v>1</v>
      </c>
      <c r="O23" s="10"/>
    </row>
    <row r="24" spans="1:15" x14ac:dyDescent="0.25">
      <c r="A24" s="449" t="s">
        <v>492</v>
      </c>
      <c r="B24" s="450"/>
      <c r="C24" s="450"/>
      <c r="D24" s="450"/>
      <c r="E24" s="451"/>
      <c r="F24" s="345">
        <f>IF($G$21="New Soil Type",$H$24,VLOOKUP($G$21,'Lookup Table'!B99:F109,5))</f>
        <v>0.216</v>
      </c>
      <c r="G24" s="440"/>
      <c r="H24" s="18">
        <v>1</v>
      </c>
      <c r="O24" s="10"/>
    </row>
    <row r="25" spans="1:15" x14ac:dyDescent="0.25">
      <c r="A25" s="450" t="s">
        <v>108</v>
      </c>
      <c r="B25" s="450"/>
      <c r="C25" s="450"/>
      <c r="D25" s="450"/>
      <c r="E25" s="451"/>
      <c r="F25" s="345">
        <f>IF($G$21="New Soil Type",$H$25,VLOOKUP($G$21,'Lookup Table'!B99:F109,3))</f>
        <v>0.48099999999999998</v>
      </c>
      <c r="G25" s="440"/>
      <c r="H25" s="18">
        <v>1</v>
      </c>
      <c r="O25" s="10"/>
    </row>
    <row r="26" spans="1:15" x14ac:dyDescent="0.25">
      <c r="A26" s="340"/>
      <c r="B26" s="340"/>
      <c r="C26" s="340"/>
      <c r="D26" s="340"/>
      <c r="E26" s="340"/>
      <c r="F26" s="344"/>
      <c r="G26" s="344"/>
      <c r="H26" s="340"/>
      <c r="O26" s="10"/>
    </row>
    <row r="27" spans="1:15" x14ac:dyDescent="0.25">
      <c r="A27" s="340" t="s">
        <v>110</v>
      </c>
      <c r="B27" s="340"/>
      <c r="C27" s="340"/>
      <c r="D27" s="340"/>
      <c r="E27" s="340"/>
      <c r="F27" s="340">
        <f>$F$25-$F$24</f>
        <v>0.26500000000000001</v>
      </c>
      <c r="G27" s="341" t="s">
        <v>491</v>
      </c>
      <c r="H27" s="340"/>
      <c r="O27" s="10"/>
    </row>
    <row r="28" spans="1:15" x14ac:dyDescent="0.25">
      <c r="A28" s="340" t="s">
        <v>142</v>
      </c>
      <c r="B28" s="340"/>
      <c r="C28" s="340"/>
      <c r="D28" s="340"/>
      <c r="E28" s="340"/>
      <c r="F28" s="340">
        <f>$F$18*$F$23</f>
        <v>0.37535999999999997</v>
      </c>
      <c r="G28" s="341" t="s">
        <v>421</v>
      </c>
      <c r="H28" s="340"/>
    </row>
    <row r="29" spans="1:15" x14ac:dyDescent="0.25">
      <c r="A29" s="340" t="s">
        <v>143</v>
      </c>
      <c r="B29" s="340"/>
      <c r="C29" s="340"/>
      <c r="D29" s="340"/>
      <c r="E29" s="340"/>
      <c r="F29" s="340">
        <f>$F$16*$F$17*$F$23</f>
        <v>0.25115999999999999</v>
      </c>
      <c r="G29" s="341" t="s">
        <v>421</v>
      </c>
      <c r="H29" s="340"/>
    </row>
    <row r="30" spans="1:15" x14ac:dyDescent="0.25">
      <c r="A30" s="340" t="s">
        <v>144</v>
      </c>
      <c r="B30" s="340"/>
      <c r="C30" s="340"/>
      <c r="D30" s="340"/>
      <c r="E30" s="340"/>
      <c r="F30" s="340">
        <f>$F$28/($F$29+$F$24+$F$18*$F$27)</f>
        <v>0.69609079445145006</v>
      </c>
      <c r="G30" s="341" t="s">
        <v>491</v>
      </c>
      <c r="H30" s="340"/>
    </row>
    <row r="31" spans="1:15" x14ac:dyDescent="0.25">
      <c r="A31" s="340"/>
      <c r="B31" s="340"/>
      <c r="C31" s="340"/>
      <c r="D31" s="340"/>
      <c r="E31" s="340"/>
      <c r="F31" s="340"/>
      <c r="G31" s="340"/>
      <c r="H31" s="340"/>
    </row>
    <row r="32" spans="1:15" x14ac:dyDescent="0.25">
      <c r="A32" s="340"/>
      <c r="B32" s="340"/>
      <c r="C32" s="340"/>
      <c r="D32" s="340"/>
      <c r="E32" s="340"/>
      <c r="F32" s="340"/>
      <c r="G32" s="340"/>
      <c r="H32" s="340"/>
    </row>
    <row r="33" spans="1:8" x14ac:dyDescent="0.25">
      <c r="A33" s="340"/>
      <c r="B33" s="340"/>
      <c r="C33" s="340"/>
      <c r="D33" s="340"/>
      <c r="E33" s="340"/>
      <c r="F33" s="340"/>
      <c r="G33" s="340"/>
      <c r="H33" s="340"/>
    </row>
    <row r="34" spans="1:8" x14ac:dyDescent="0.25">
      <c r="A34" s="340"/>
      <c r="B34" s="340"/>
      <c r="C34" s="340"/>
      <c r="D34" s="340"/>
      <c r="E34" s="340"/>
      <c r="F34" s="340"/>
      <c r="G34" s="340"/>
      <c r="H34" s="340"/>
    </row>
    <row r="35" spans="1:8" x14ac:dyDescent="0.25">
      <c r="A35" s="340"/>
      <c r="B35" s="340"/>
      <c r="C35" s="340"/>
      <c r="D35" s="340"/>
      <c r="E35" s="340"/>
      <c r="F35" s="340"/>
      <c r="G35" s="340"/>
      <c r="H35" s="340"/>
    </row>
    <row r="36" spans="1:8" x14ac:dyDescent="0.25">
      <c r="A36" s="340"/>
      <c r="B36" s="340"/>
      <c r="C36" s="340"/>
      <c r="D36" s="340"/>
      <c r="E36" s="340"/>
      <c r="F36" s="340"/>
      <c r="G36" s="340"/>
      <c r="H36" s="340"/>
    </row>
    <row r="37" spans="1:8" x14ac:dyDescent="0.25">
      <c r="A37" s="340"/>
      <c r="B37" s="340"/>
      <c r="C37" s="340"/>
      <c r="D37" s="340"/>
      <c r="E37" s="340"/>
      <c r="F37" s="340"/>
      <c r="G37" s="340"/>
      <c r="H37" s="340"/>
    </row>
    <row r="38" spans="1:8" ht="18.75" customHeight="1" x14ac:dyDescent="0.3">
      <c r="A38" s="569" t="s">
        <v>585</v>
      </c>
      <c r="B38" s="570"/>
      <c r="C38" s="570"/>
      <c r="D38" s="570"/>
      <c r="E38" s="570"/>
      <c r="F38" s="570"/>
      <c r="G38" s="570"/>
      <c r="H38" s="570"/>
    </row>
    <row r="39" spans="1:8" x14ac:dyDescent="0.25">
      <c r="A39" s="340"/>
      <c r="B39" s="340"/>
      <c r="C39" s="340"/>
      <c r="D39" s="340"/>
      <c r="E39" s="340"/>
      <c r="F39" s="340"/>
      <c r="G39" s="340"/>
      <c r="H39" s="340"/>
    </row>
    <row r="40" spans="1:8" ht="17.399999999999999" x14ac:dyDescent="0.3">
      <c r="A40" s="441" t="s">
        <v>313</v>
      </c>
      <c r="B40" s="442"/>
      <c r="C40" s="442"/>
      <c r="D40" s="442"/>
      <c r="E40" s="442"/>
      <c r="F40" s="443"/>
      <c r="G40" s="443"/>
      <c r="H40" s="444">
        <v>3000</v>
      </c>
    </row>
    <row r="41" spans="1:8" x14ac:dyDescent="0.25">
      <c r="A41" s="340"/>
      <c r="B41" s="340"/>
      <c r="C41" s="340"/>
      <c r="D41" s="340"/>
      <c r="E41" s="340"/>
      <c r="F41" s="340"/>
      <c r="G41" s="340"/>
      <c r="H41" s="340"/>
    </row>
    <row r="42" spans="1:8" x14ac:dyDescent="0.25">
      <c r="A42" s="340"/>
      <c r="B42" s="340"/>
      <c r="C42" s="340"/>
      <c r="D42" s="340"/>
      <c r="E42" s="340"/>
      <c r="F42" s="340"/>
      <c r="G42" s="340"/>
      <c r="H42" s="340"/>
    </row>
    <row r="43" spans="1:8" ht="17.399999999999999" x14ac:dyDescent="0.3">
      <c r="A43" s="445" t="s">
        <v>340</v>
      </c>
      <c r="B43" s="442"/>
      <c r="C43" s="442"/>
      <c r="D43" s="442"/>
      <c r="E43" s="442"/>
      <c r="F43" s="443"/>
      <c r="G43" s="443"/>
      <c r="H43" s="446">
        <v>4.3097826086956532</v>
      </c>
    </row>
    <row r="44" spans="1:8" ht="15" x14ac:dyDescent="0.25">
      <c r="A44" s="347" t="str">
        <f>IF($H$43&gt;$H$49,"(Concentration exceeds saturation)","")</f>
        <v/>
      </c>
      <c r="B44" s="347"/>
      <c r="C44" s="347"/>
      <c r="D44" s="347"/>
      <c r="E44" s="340"/>
      <c r="F44" s="340"/>
      <c r="G44" s="340"/>
      <c r="H44" s="340"/>
    </row>
    <row r="45" spans="1:8" x14ac:dyDescent="0.25">
      <c r="A45" s="340"/>
      <c r="B45" s="340"/>
      <c r="C45" s="340"/>
      <c r="D45" s="340"/>
      <c r="E45" s="340"/>
      <c r="F45" s="340"/>
      <c r="G45" s="340"/>
      <c r="H45" s="340"/>
    </row>
    <row r="46" spans="1:8" ht="17.399999999999999" x14ac:dyDescent="0.3">
      <c r="A46" s="441" t="s">
        <v>314</v>
      </c>
      <c r="B46" s="442"/>
      <c r="C46" s="442"/>
      <c r="D46" s="442"/>
      <c r="E46" s="442"/>
      <c r="F46" s="443"/>
      <c r="G46" s="443"/>
      <c r="H46" s="444">
        <v>11029.411764705881</v>
      </c>
    </row>
    <row r="47" spans="1:8" x14ac:dyDescent="0.25">
      <c r="A47" s="340"/>
      <c r="B47" s="340"/>
      <c r="C47" s="340"/>
      <c r="D47" s="340"/>
      <c r="E47" s="340"/>
      <c r="F47" s="340"/>
      <c r="G47" s="340"/>
      <c r="H47" s="340"/>
    </row>
    <row r="48" spans="1:8" x14ac:dyDescent="0.25">
      <c r="A48" s="340"/>
      <c r="B48" s="340"/>
      <c r="C48" s="340"/>
      <c r="D48" s="340"/>
      <c r="E48" s="340"/>
      <c r="F48" s="340"/>
      <c r="G48" s="340"/>
      <c r="H48" s="340"/>
    </row>
    <row r="49" spans="1:15" ht="17.399999999999999" x14ac:dyDescent="0.3">
      <c r="A49" s="445" t="s">
        <v>320</v>
      </c>
      <c r="B49" s="445"/>
      <c r="C49" s="445"/>
      <c r="D49" s="447"/>
      <c r="E49" s="442"/>
      <c r="F49" s="442"/>
      <c r="G49" s="442"/>
      <c r="H49" s="448">
        <f>$F$19/$F$23*($F$29+$F$24+$F$18*$F$27)</f>
        <v>207.09942028985512</v>
      </c>
    </row>
    <row r="52" spans="1:15" ht="15.6" x14ac:dyDescent="0.3">
      <c r="F52" s="92"/>
      <c r="G52" s="92"/>
    </row>
    <row r="53" spans="1:15" ht="15.6" x14ac:dyDescent="0.3">
      <c r="F53" s="92"/>
      <c r="G53" s="92"/>
    </row>
    <row r="54" spans="1:15" ht="15.6" x14ac:dyDescent="0.3">
      <c r="F54" s="92"/>
      <c r="G54" s="92"/>
    </row>
    <row r="55" spans="1:15" ht="15.6" x14ac:dyDescent="0.3">
      <c r="F55" s="92"/>
      <c r="G55" s="92"/>
    </row>
    <row r="56" spans="1:15" ht="15.6" x14ac:dyDescent="0.3">
      <c r="F56" s="92"/>
      <c r="G56" s="92"/>
    </row>
    <row r="57" spans="1:15" ht="15.6" x14ac:dyDescent="0.3">
      <c r="F57" s="92"/>
      <c r="G57" s="92"/>
    </row>
    <row r="58" spans="1:15" ht="15.6" x14ac:dyDescent="0.3">
      <c r="F58" s="92"/>
      <c r="G58" s="92"/>
    </row>
    <row r="59" spans="1:15" x14ac:dyDescent="0.25">
      <c r="A59" s="9"/>
      <c r="F59" s="93"/>
      <c r="G59" s="93"/>
    </row>
    <row r="60" spans="1:15" x14ac:dyDescent="0.25">
      <c r="A60" s="9"/>
      <c r="F60" s="93"/>
      <c r="G60" s="93"/>
    </row>
    <row r="61" spans="1:15" x14ac:dyDescent="0.25">
      <c r="A61" s="9"/>
      <c r="F61" s="93"/>
      <c r="G61" s="93"/>
    </row>
    <row r="62" spans="1:15" ht="12" customHeight="1" x14ac:dyDescent="0.25">
      <c r="A62" s="24"/>
      <c r="F62" s="94"/>
      <c r="G62" s="94"/>
      <c r="H62" s="91"/>
      <c r="I62" s="95"/>
    </row>
    <row r="63" spans="1:15" x14ac:dyDescent="0.25">
      <c r="H63" s="91"/>
      <c r="I63" s="95"/>
      <c r="O63" s="93"/>
    </row>
    <row r="64" spans="1:15" ht="15.6" x14ac:dyDescent="0.3">
      <c r="F64" s="92"/>
      <c r="G64" s="92"/>
      <c r="H64" s="91"/>
      <c r="I64" s="95"/>
    </row>
    <row r="65" spans="1:15" x14ac:dyDescent="0.25">
      <c r="H65" s="91"/>
      <c r="I65" s="95"/>
      <c r="O65" s="93"/>
    </row>
    <row r="66" spans="1:15" x14ac:dyDescent="0.25">
      <c r="A66" s="9"/>
      <c r="H66" s="91"/>
      <c r="I66" s="95"/>
    </row>
    <row r="67" spans="1:15" x14ac:dyDescent="0.25">
      <c r="H67" s="91"/>
      <c r="I67" s="95"/>
    </row>
    <row r="68" spans="1:15" x14ac:dyDescent="0.25">
      <c r="H68" s="91"/>
      <c r="I68" s="95"/>
    </row>
    <row r="69" spans="1:15" x14ac:dyDescent="0.25">
      <c r="H69" s="91"/>
      <c r="I69" s="95"/>
    </row>
    <row r="70" spans="1:15" x14ac:dyDescent="0.25">
      <c r="H70" s="91"/>
      <c r="I70" s="95"/>
    </row>
    <row r="71" spans="1:15" x14ac:dyDescent="0.25">
      <c r="H71" s="91"/>
      <c r="I71" s="95"/>
    </row>
    <row r="72" spans="1:15" x14ac:dyDescent="0.25">
      <c r="H72" s="91"/>
      <c r="I72" s="95"/>
    </row>
    <row r="73" spans="1:15" ht="15.6" x14ac:dyDescent="0.3">
      <c r="F73" s="92"/>
      <c r="G73" s="92"/>
      <c r="H73" s="91"/>
      <c r="I73" s="95"/>
    </row>
    <row r="74" spans="1:15" x14ac:dyDescent="0.25">
      <c r="H74" s="91"/>
      <c r="I74" s="95"/>
    </row>
    <row r="75" spans="1:15" x14ac:dyDescent="0.25">
      <c r="A75" s="9"/>
      <c r="F75" s="96"/>
      <c r="G75" s="96"/>
      <c r="H75" s="91"/>
      <c r="I75" s="95"/>
    </row>
    <row r="76" spans="1:15" x14ac:dyDescent="0.25">
      <c r="H76" s="91"/>
      <c r="I76" s="95"/>
    </row>
    <row r="77" spans="1:15" x14ac:dyDescent="0.25">
      <c r="H77" s="97"/>
      <c r="I77" s="95"/>
    </row>
    <row r="79" spans="1:15" ht="15.6" x14ac:dyDescent="0.3">
      <c r="F79" s="98"/>
      <c r="G79" s="98"/>
      <c r="H79" s="99"/>
    </row>
  </sheetData>
  <sheetProtection password="FD77" sheet="1" objects="1" scenarios="1"/>
  <mergeCells count="1">
    <mergeCell ref="A38:H38"/>
  </mergeCells>
  <phoneticPr fontId="15" type="noConversion"/>
  <dataValidations xWindow="396" yWindow="245" count="2">
    <dataValidation type="list" allowBlank="1" showInputMessage="1" showErrorMessage="1" prompt="Select soil type or &quot;new soil type&quot;" sqref="G21 H22" xr:uid="{00000000-0002-0000-0500-000000000000}">
      <formula1>soils2</formula1>
    </dataValidation>
    <dataValidation type="list" allowBlank="1" showInputMessage="1" showErrorMessage="1" prompt="Select chemical or &quot;Enter chemical properties&quot; for unlisted chemical" sqref="G14" xr:uid="{00000000-0002-0000-0500-000001000000}">
      <formula1>chemical2</formula1>
    </dataValidation>
  </dataValidations>
  <pageMargins left="0.75" right="0.75" top="1" bottom="1" header="0.5" footer="0.5"/>
  <pageSetup scale="80" orientation="portrait" r:id="rId1"/>
  <headerFooter alignWithMargins="0"/>
  <drawing r:id="rId2"/>
  <legacyDrawing r:id="rId3"/>
  <controls>
    <mc:AlternateContent xmlns:mc="http://schemas.openxmlformats.org/markup-compatibility/2006">
      <mc:Choice Requires="x14">
        <control shapeId="7178" r:id="rId4" name="CommandButton1">
          <controlPr defaultSize="0" autoLine="0" r:id="rId5">
            <anchor moveWithCells="1">
              <from>
                <xdr:col>0</xdr:col>
                <xdr:colOff>304800</xdr:colOff>
                <xdr:row>30</xdr:row>
                <xdr:rowOff>144780</xdr:rowOff>
              </from>
              <to>
                <xdr:col>5</xdr:col>
                <xdr:colOff>251460</xdr:colOff>
                <xdr:row>35</xdr:row>
                <xdr:rowOff>99060</xdr:rowOff>
              </to>
            </anchor>
          </controlPr>
        </control>
      </mc:Choice>
      <mc:Fallback>
        <control shapeId="7178" r:id="rId4" name="CommandButton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4:P110"/>
  <sheetViews>
    <sheetView view="pageBreakPreview" zoomScale="55" zoomScaleNormal="85" zoomScaleSheetLayoutView="55" workbookViewId="0">
      <selection activeCell="D21" sqref="D21"/>
    </sheetView>
  </sheetViews>
  <sheetFormatPr defaultColWidth="9.21875" defaultRowHeight="13.2" x14ac:dyDescent="0.25"/>
  <cols>
    <col min="1" max="1" width="24.5546875" style="340" customWidth="1"/>
    <col min="2" max="2" width="15.21875" style="340" customWidth="1"/>
    <col min="3" max="3" width="12.44140625" style="340" customWidth="1"/>
    <col min="4" max="5" width="13" style="340" customWidth="1"/>
    <col min="6" max="6" width="18.5546875" style="340" customWidth="1"/>
    <col min="7" max="7" width="15" style="340" customWidth="1"/>
    <col min="8" max="8" width="16.5546875" style="340" customWidth="1"/>
    <col min="9" max="10" width="15.44140625" style="340" customWidth="1"/>
    <col min="11" max="11" width="17.44140625" style="340" customWidth="1"/>
    <col min="12" max="12" width="16" style="340" customWidth="1"/>
    <col min="13" max="16384" width="9.21875" style="340"/>
  </cols>
  <sheetData>
    <row r="4" spans="1:16" x14ac:dyDescent="0.25">
      <c r="D4" s="340" t="s">
        <v>237</v>
      </c>
    </row>
    <row r="6" spans="1:16" ht="13.8" thickBot="1" x14ac:dyDescent="0.3">
      <c r="E6" s="236"/>
      <c r="F6" s="236"/>
    </row>
    <row r="7" spans="1:16" ht="13.8" thickTop="1" x14ac:dyDescent="0.25">
      <c r="A7" s="483" t="s">
        <v>257</v>
      </c>
      <c r="B7" s="349" t="s">
        <v>258</v>
      </c>
      <c r="C7" s="349" t="s">
        <v>377</v>
      </c>
      <c r="D7" s="349" t="s">
        <v>228</v>
      </c>
      <c r="E7" s="350" t="s">
        <v>242</v>
      </c>
      <c r="F7" s="351" t="s">
        <v>259</v>
      </c>
      <c r="G7" s="572" t="s">
        <v>260</v>
      </c>
      <c r="H7" s="573"/>
      <c r="I7" s="574"/>
      <c r="J7" s="352" t="s">
        <v>207</v>
      </c>
      <c r="K7" s="353"/>
      <c r="L7" s="353"/>
      <c r="M7" s="353"/>
      <c r="N7" s="353"/>
      <c r="O7" s="353"/>
      <c r="P7" s="353"/>
    </row>
    <row r="8" spans="1:16" ht="16.2" thickBot="1" x14ac:dyDescent="0.3">
      <c r="A8" s="484"/>
      <c r="B8" s="355" t="s">
        <v>261</v>
      </c>
      <c r="C8" s="354" t="s">
        <v>262</v>
      </c>
      <c r="D8" s="355" t="s">
        <v>263</v>
      </c>
      <c r="E8" s="356" t="s">
        <v>264</v>
      </c>
      <c r="F8" s="356" t="s">
        <v>243</v>
      </c>
      <c r="G8" s="357" t="s">
        <v>265</v>
      </c>
      <c r="H8" s="357" t="s">
        <v>266</v>
      </c>
      <c r="I8" s="357" t="s">
        <v>267</v>
      </c>
      <c r="J8" s="357" t="s">
        <v>208</v>
      </c>
      <c r="K8" s="353"/>
      <c r="L8" s="353"/>
      <c r="M8" s="353"/>
      <c r="N8" s="353"/>
      <c r="O8" s="353"/>
      <c r="P8" s="353"/>
    </row>
    <row r="9" spans="1:16" ht="13.8" thickTop="1" x14ac:dyDescent="0.25">
      <c r="A9" s="358" t="s">
        <v>311</v>
      </c>
      <c r="B9" s="381">
        <v>110</v>
      </c>
      <c r="C9" s="359">
        <v>0.70499999999999996</v>
      </c>
      <c r="D9" s="360">
        <v>1300</v>
      </c>
      <c r="E9" s="361">
        <v>7</v>
      </c>
      <c r="F9" s="361"/>
      <c r="G9" s="362"/>
      <c r="H9" s="362"/>
      <c r="I9" s="361">
        <v>1200</v>
      </c>
      <c r="J9" s="361">
        <v>1200</v>
      </c>
    </row>
    <row r="10" spans="1:16" x14ac:dyDescent="0.25">
      <c r="A10" s="358" t="s">
        <v>198</v>
      </c>
      <c r="B10" s="359">
        <v>93.3</v>
      </c>
      <c r="C10" s="359">
        <v>1.41E-2</v>
      </c>
      <c r="D10" s="363">
        <v>3000</v>
      </c>
      <c r="E10" s="364"/>
      <c r="F10" s="364">
        <v>0.2</v>
      </c>
      <c r="G10" s="362">
        <v>0.42</v>
      </c>
      <c r="H10" s="365">
        <v>4.2</v>
      </c>
      <c r="I10" s="365"/>
      <c r="J10" s="365">
        <v>9.3000000000000007</v>
      </c>
    </row>
    <row r="11" spans="1:16" x14ac:dyDescent="0.25">
      <c r="A11" s="358" t="s">
        <v>202</v>
      </c>
      <c r="B11" s="359">
        <v>50.1</v>
      </c>
      <c r="C11" s="359">
        <v>3.7400000000000003E-2</v>
      </c>
      <c r="D11" s="363">
        <v>4400</v>
      </c>
      <c r="E11" s="361">
        <v>5</v>
      </c>
      <c r="F11" s="361"/>
      <c r="G11" s="362">
        <v>0.74</v>
      </c>
      <c r="H11" s="365">
        <v>7.4</v>
      </c>
      <c r="I11" s="362"/>
      <c r="J11" s="361">
        <v>16</v>
      </c>
    </row>
    <row r="12" spans="1:16" x14ac:dyDescent="0.25">
      <c r="A12" s="358" t="s">
        <v>190</v>
      </c>
      <c r="B12" s="359">
        <v>31.6</v>
      </c>
      <c r="C12" s="359">
        <v>0.23</v>
      </c>
      <c r="D12" s="363">
        <v>5100</v>
      </c>
      <c r="E12" s="364"/>
      <c r="F12" s="364">
        <v>700</v>
      </c>
      <c r="G12" s="362"/>
      <c r="H12" s="362"/>
      <c r="I12" s="361">
        <v>510</v>
      </c>
      <c r="J12" s="361">
        <v>1700</v>
      </c>
    </row>
    <row r="13" spans="1:16" x14ac:dyDescent="0.25">
      <c r="A13" s="358" t="s">
        <v>211</v>
      </c>
      <c r="B13" s="359">
        <v>58.9</v>
      </c>
      <c r="C13" s="359">
        <v>1.07</v>
      </c>
      <c r="D13" s="363">
        <v>2300</v>
      </c>
      <c r="E13" s="361">
        <v>7</v>
      </c>
      <c r="F13" s="361"/>
      <c r="G13" s="362"/>
      <c r="H13" s="362"/>
      <c r="I13" s="361">
        <v>120</v>
      </c>
      <c r="J13" s="361">
        <v>410</v>
      </c>
    </row>
    <row r="14" spans="1:16" x14ac:dyDescent="0.25">
      <c r="A14" s="358" t="s">
        <v>204</v>
      </c>
      <c r="B14" s="359">
        <v>3720</v>
      </c>
      <c r="C14" s="359">
        <v>0.23370000000000002</v>
      </c>
      <c r="D14" s="359">
        <v>57</v>
      </c>
      <c r="E14" s="364"/>
      <c r="F14" s="364">
        <v>12</v>
      </c>
      <c r="G14" s="366"/>
      <c r="H14" s="366"/>
      <c r="I14" s="364">
        <v>52</v>
      </c>
      <c r="J14" s="364">
        <v>170</v>
      </c>
    </row>
    <row r="15" spans="1:16" x14ac:dyDescent="0.25">
      <c r="A15" s="358" t="s">
        <v>210</v>
      </c>
      <c r="B15" s="359">
        <v>28.1</v>
      </c>
      <c r="C15" s="359">
        <v>2.9000000000000001E-2</v>
      </c>
      <c r="D15" s="363">
        <v>3400</v>
      </c>
      <c r="E15" s="361">
        <v>0.05</v>
      </c>
      <c r="F15" s="361"/>
      <c r="G15" s="367">
        <v>2.9000000000000001E-2</v>
      </c>
      <c r="H15" s="362">
        <v>0.28999999999999998</v>
      </c>
      <c r="I15" s="361"/>
      <c r="J15" s="362">
        <v>0.63</v>
      </c>
    </row>
    <row r="16" spans="1:16" x14ac:dyDescent="0.25">
      <c r="A16" s="368" t="s">
        <v>310</v>
      </c>
      <c r="B16" s="359">
        <v>620</v>
      </c>
      <c r="C16" s="359">
        <v>7.8200000000000006E-2</v>
      </c>
      <c r="D16" s="363">
        <v>160</v>
      </c>
      <c r="E16" s="361">
        <v>600</v>
      </c>
      <c r="F16" s="361"/>
      <c r="G16" s="362"/>
      <c r="H16" s="362"/>
      <c r="I16" s="361">
        <v>600</v>
      </c>
      <c r="J16" s="364">
        <v>600</v>
      </c>
    </row>
    <row r="17" spans="1:10" x14ac:dyDescent="0.25">
      <c r="A17" s="368" t="s">
        <v>191</v>
      </c>
      <c r="B17" s="359">
        <v>17.399999999999999</v>
      </c>
      <c r="C17" s="359">
        <v>4.0099999999999997E-2</v>
      </c>
      <c r="D17" s="363">
        <v>8500</v>
      </c>
      <c r="E17" s="361">
        <v>5</v>
      </c>
      <c r="F17" s="361"/>
      <c r="G17" s="362">
        <v>0.28000000000000003</v>
      </c>
      <c r="H17" s="365">
        <v>2.8</v>
      </c>
      <c r="I17" s="361"/>
      <c r="J17" s="365">
        <v>6</v>
      </c>
    </row>
    <row r="18" spans="1:10" ht="12.75" customHeight="1" x14ac:dyDescent="0.25">
      <c r="A18" s="368" t="s">
        <v>192</v>
      </c>
      <c r="B18" s="359">
        <v>43.7</v>
      </c>
      <c r="C18" s="359">
        <v>0.115</v>
      </c>
      <c r="D18" s="363">
        <v>2800</v>
      </c>
      <c r="E18" s="361">
        <v>5</v>
      </c>
      <c r="F18" s="361"/>
      <c r="G18" s="362">
        <v>0.34</v>
      </c>
      <c r="H18" s="365">
        <v>3.4</v>
      </c>
      <c r="I18" s="365"/>
      <c r="J18" s="365">
        <v>7.4</v>
      </c>
    </row>
    <row r="19" spans="1:10" ht="13.5" customHeight="1" x14ac:dyDescent="0.25">
      <c r="A19" s="358" t="s">
        <v>205</v>
      </c>
      <c r="B19" s="359">
        <v>819</v>
      </c>
      <c r="C19" s="359">
        <v>0.32</v>
      </c>
      <c r="D19" s="363">
        <v>48</v>
      </c>
      <c r="E19" s="364"/>
      <c r="F19" s="364">
        <v>12</v>
      </c>
      <c r="G19" s="362"/>
      <c r="H19" s="362"/>
      <c r="I19" s="361">
        <v>21</v>
      </c>
      <c r="J19" s="361">
        <v>70</v>
      </c>
    </row>
    <row r="20" spans="1:10" x14ac:dyDescent="0.25">
      <c r="A20" s="369" t="s">
        <v>268</v>
      </c>
      <c r="B20" s="359">
        <v>120</v>
      </c>
      <c r="C20" s="359">
        <v>7.298</v>
      </c>
      <c r="D20" s="359">
        <v>735</v>
      </c>
      <c r="E20" s="364"/>
      <c r="F20" s="364">
        <v>0.1</v>
      </c>
      <c r="G20" s="370">
        <v>5.8000000000000003E-2</v>
      </c>
      <c r="H20" s="371">
        <v>0.57999999999999996</v>
      </c>
      <c r="I20" s="364"/>
      <c r="J20" s="372">
        <v>1.2</v>
      </c>
    </row>
    <row r="21" spans="1:10" x14ac:dyDescent="0.25">
      <c r="A21" s="358" t="s">
        <v>193</v>
      </c>
      <c r="B21" s="359">
        <v>45.7</v>
      </c>
      <c r="C21" s="359">
        <v>0.72599999999999998</v>
      </c>
      <c r="D21" s="363">
        <v>2800</v>
      </c>
      <c r="E21" s="364"/>
      <c r="F21" s="364">
        <v>0.4</v>
      </c>
      <c r="G21" s="362">
        <v>0.79</v>
      </c>
      <c r="H21" s="365">
        <v>7.9</v>
      </c>
      <c r="I21" s="362"/>
      <c r="J21" s="361">
        <v>18</v>
      </c>
    </row>
    <row r="22" spans="1:10" x14ac:dyDescent="0.25">
      <c r="A22" s="358" t="s">
        <v>309</v>
      </c>
      <c r="B22" s="359">
        <v>620</v>
      </c>
      <c r="C22" s="359">
        <v>0.1</v>
      </c>
      <c r="D22" s="363">
        <v>74</v>
      </c>
      <c r="E22" s="361">
        <v>75</v>
      </c>
      <c r="F22" s="361"/>
      <c r="G22" s="365">
        <v>3.5</v>
      </c>
      <c r="H22" s="361">
        <v>35</v>
      </c>
      <c r="I22" s="361"/>
      <c r="J22" s="361">
        <v>79</v>
      </c>
    </row>
    <row r="23" spans="1:10" x14ac:dyDescent="0.25">
      <c r="A23" s="373" t="s">
        <v>269</v>
      </c>
      <c r="B23" s="374">
        <v>1</v>
      </c>
      <c r="C23" s="374">
        <v>1.9599999999999999E-4</v>
      </c>
      <c r="D23" s="374">
        <v>1000000</v>
      </c>
      <c r="E23" s="364"/>
      <c r="F23" s="364">
        <v>1</v>
      </c>
      <c r="G23" s="364">
        <v>50</v>
      </c>
      <c r="H23" s="364">
        <v>500</v>
      </c>
      <c r="I23" s="364"/>
      <c r="J23" s="364">
        <v>1600</v>
      </c>
    </row>
    <row r="24" spans="1:10" x14ac:dyDescent="0.25">
      <c r="A24" s="373" t="s">
        <v>270</v>
      </c>
      <c r="B24" s="374">
        <v>363.8</v>
      </c>
      <c r="C24" s="374">
        <v>2.21E-6</v>
      </c>
      <c r="D24" s="374">
        <v>270</v>
      </c>
      <c r="E24" s="364"/>
      <c r="F24" s="364">
        <v>12</v>
      </c>
      <c r="G24" s="366"/>
      <c r="H24" s="366"/>
      <c r="I24" s="364">
        <v>120</v>
      </c>
      <c r="J24" s="364">
        <v>1200</v>
      </c>
    </row>
    <row r="25" spans="1:10" x14ac:dyDescent="0.25">
      <c r="A25" s="375" t="s">
        <v>271</v>
      </c>
      <c r="B25" s="374">
        <v>371.4</v>
      </c>
      <c r="C25" s="374">
        <v>3.0499999999999999E-5</v>
      </c>
      <c r="D25" s="374">
        <v>352</v>
      </c>
      <c r="E25" s="364"/>
      <c r="F25" s="364">
        <v>6</v>
      </c>
      <c r="G25" s="366"/>
      <c r="H25" s="366"/>
      <c r="I25" s="364">
        <v>61</v>
      </c>
      <c r="J25" s="364">
        <v>620</v>
      </c>
    </row>
    <row r="26" spans="1:10" x14ac:dyDescent="0.25">
      <c r="A26" s="376" t="s">
        <v>272</v>
      </c>
      <c r="B26" s="359">
        <v>4898</v>
      </c>
      <c r="C26" s="359">
        <v>6.3550000000000004E-3</v>
      </c>
      <c r="D26" s="359">
        <v>4.24</v>
      </c>
      <c r="E26" s="364"/>
      <c r="F26" s="364">
        <v>370</v>
      </c>
      <c r="G26" s="366"/>
      <c r="H26" s="366"/>
      <c r="I26" s="364">
        <v>3700</v>
      </c>
      <c r="J26" s="364">
        <v>29000</v>
      </c>
    </row>
    <row r="27" spans="1:10" x14ac:dyDescent="0.25">
      <c r="A27" s="376" t="s">
        <v>273</v>
      </c>
      <c r="B27" s="359">
        <v>23500</v>
      </c>
      <c r="C27" s="359">
        <v>2.6649999999999998E-3</v>
      </c>
      <c r="D27" s="359">
        <v>4.3400000000000001E-2</v>
      </c>
      <c r="E27" s="364"/>
      <c r="F27" s="364">
        <v>1800</v>
      </c>
      <c r="G27" s="366"/>
      <c r="H27" s="366"/>
      <c r="I27" s="364">
        <v>22000</v>
      </c>
      <c r="J27" s="364">
        <v>240000</v>
      </c>
    </row>
    <row r="28" spans="1:10" x14ac:dyDescent="0.25">
      <c r="A28" s="358" t="s">
        <v>183</v>
      </c>
      <c r="B28" s="359">
        <v>58.9</v>
      </c>
      <c r="C28" s="359">
        <v>0.22800000000000001</v>
      </c>
      <c r="D28" s="363">
        <v>1800</v>
      </c>
      <c r="E28" s="361">
        <v>5</v>
      </c>
      <c r="F28" s="361"/>
      <c r="G28" s="362">
        <v>0.65</v>
      </c>
      <c r="H28" s="362" t="s">
        <v>209</v>
      </c>
      <c r="I28" s="361"/>
      <c r="J28" s="362">
        <v>1.4</v>
      </c>
    </row>
    <row r="29" spans="1:10" x14ac:dyDescent="0.25">
      <c r="A29" s="375" t="s">
        <v>274</v>
      </c>
      <c r="B29" s="374">
        <v>165000</v>
      </c>
      <c r="C29" s="374">
        <v>1.1E-5</v>
      </c>
      <c r="D29" s="374">
        <v>0.27</v>
      </c>
      <c r="E29" s="364"/>
      <c r="F29" s="364">
        <v>0.8</v>
      </c>
      <c r="G29" s="364">
        <v>39</v>
      </c>
      <c r="H29" s="364">
        <v>390</v>
      </c>
      <c r="I29" s="364"/>
      <c r="J29" s="364">
        <v>1200</v>
      </c>
    </row>
    <row r="30" spans="1:10" x14ac:dyDescent="0.25">
      <c r="A30" s="368" t="s">
        <v>184</v>
      </c>
      <c r="B30" s="359">
        <v>55</v>
      </c>
      <c r="C30" s="359">
        <v>6.5600000000000006E-2</v>
      </c>
      <c r="D30" s="363">
        <v>6700</v>
      </c>
      <c r="E30" s="361">
        <v>80</v>
      </c>
      <c r="F30" s="361"/>
      <c r="G30" s="362">
        <v>0.83</v>
      </c>
      <c r="H30" s="365">
        <v>8.3000000000000007</v>
      </c>
      <c r="I30" s="361"/>
      <c r="J30" s="361">
        <v>18</v>
      </c>
    </row>
    <row r="31" spans="1:10" x14ac:dyDescent="0.25">
      <c r="A31" s="368" t="s">
        <v>185</v>
      </c>
      <c r="B31" s="359">
        <v>87.1</v>
      </c>
      <c r="C31" s="359">
        <v>2.1899999999999999E-2</v>
      </c>
      <c r="D31" s="377">
        <v>3100</v>
      </c>
      <c r="E31" s="361">
        <v>80</v>
      </c>
      <c r="F31" s="361"/>
      <c r="G31" s="361">
        <v>69</v>
      </c>
      <c r="H31" s="361">
        <v>690</v>
      </c>
      <c r="I31" s="361"/>
      <c r="J31" s="361">
        <v>2200</v>
      </c>
    </row>
    <row r="32" spans="1:10" x14ac:dyDescent="0.25">
      <c r="A32" s="358" t="s">
        <v>186</v>
      </c>
      <c r="B32" s="359">
        <v>45.7</v>
      </c>
      <c r="C32" s="359">
        <v>1.24</v>
      </c>
      <c r="D32" s="363">
        <v>1200</v>
      </c>
      <c r="E32" s="364"/>
      <c r="F32" s="364">
        <v>700</v>
      </c>
      <c r="G32" s="362"/>
      <c r="H32" s="362"/>
      <c r="I32" s="361">
        <v>360</v>
      </c>
      <c r="J32" s="361">
        <v>720</v>
      </c>
    </row>
    <row r="33" spans="1:10" x14ac:dyDescent="0.25">
      <c r="A33" s="358" t="s">
        <v>187</v>
      </c>
      <c r="B33" s="359">
        <v>174</v>
      </c>
      <c r="C33" s="359">
        <v>1.25</v>
      </c>
      <c r="D33" s="363">
        <v>790</v>
      </c>
      <c r="E33" s="361">
        <v>5</v>
      </c>
      <c r="F33" s="361"/>
      <c r="G33" s="362">
        <v>0.25</v>
      </c>
      <c r="H33" s="365">
        <v>2.5</v>
      </c>
      <c r="I33" s="364">
        <v>2.2000000000000002</v>
      </c>
      <c r="J33" s="365">
        <v>5.5</v>
      </c>
    </row>
    <row r="34" spans="1:10" x14ac:dyDescent="0.25">
      <c r="A34" s="358" t="s">
        <v>188</v>
      </c>
      <c r="B34" s="359">
        <v>219</v>
      </c>
      <c r="C34" s="359">
        <v>0.152</v>
      </c>
      <c r="D34" s="363">
        <v>470</v>
      </c>
      <c r="E34" s="361">
        <v>100</v>
      </c>
      <c r="F34" s="361"/>
      <c r="G34" s="362"/>
      <c r="H34" s="362"/>
      <c r="I34" s="361">
        <v>150</v>
      </c>
      <c r="J34" s="361">
        <v>530</v>
      </c>
    </row>
    <row r="35" spans="1:10" x14ac:dyDescent="0.25">
      <c r="A35" s="358" t="s">
        <v>189</v>
      </c>
      <c r="B35" s="359">
        <v>39.799999999999997</v>
      </c>
      <c r="C35" s="359">
        <v>0.15</v>
      </c>
      <c r="D35" s="363">
        <v>7900</v>
      </c>
      <c r="E35" s="361">
        <v>80</v>
      </c>
      <c r="F35" s="361"/>
      <c r="G35" s="362">
        <v>0.94</v>
      </c>
      <c r="H35" s="365">
        <v>9.4</v>
      </c>
      <c r="I35" s="361"/>
      <c r="J35" s="361">
        <v>20</v>
      </c>
    </row>
    <row r="36" spans="1:10" x14ac:dyDescent="0.25">
      <c r="A36" s="376" t="s">
        <v>275</v>
      </c>
      <c r="B36" s="359">
        <v>398000</v>
      </c>
      <c r="C36" s="359">
        <v>3.8785999999999998E-3</v>
      </c>
      <c r="D36" s="359">
        <v>1.6000000000000001E-3</v>
      </c>
      <c r="E36" s="364"/>
      <c r="F36" s="364">
        <v>1.5</v>
      </c>
      <c r="G36" s="364">
        <v>68</v>
      </c>
      <c r="H36" s="364">
        <v>680</v>
      </c>
      <c r="I36" s="361"/>
      <c r="J36" s="364">
        <v>2000</v>
      </c>
    </row>
    <row r="37" spans="1:10" x14ac:dyDescent="0.25">
      <c r="A37" s="378" t="s">
        <v>221</v>
      </c>
      <c r="B37" s="359">
        <v>35.5</v>
      </c>
      <c r="C37" s="359">
        <v>0.16700000000000001</v>
      </c>
      <c r="D37" s="363">
        <v>3500</v>
      </c>
      <c r="E37" s="361">
        <v>70</v>
      </c>
      <c r="F37" s="361"/>
      <c r="G37" s="362"/>
      <c r="H37" s="362"/>
      <c r="I37" s="361">
        <v>43</v>
      </c>
      <c r="J37" s="361">
        <v>150</v>
      </c>
    </row>
    <row r="38" spans="1:10" x14ac:dyDescent="0.25">
      <c r="A38" s="369" t="s">
        <v>276</v>
      </c>
      <c r="B38" s="359">
        <v>220</v>
      </c>
      <c r="C38" s="359">
        <v>0.47149999999999997</v>
      </c>
      <c r="D38" s="359">
        <v>61</v>
      </c>
      <c r="E38" s="364"/>
      <c r="F38" s="364">
        <v>660</v>
      </c>
      <c r="G38" s="366"/>
      <c r="H38" s="366"/>
      <c r="I38" s="364">
        <v>92</v>
      </c>
      <c r="J38" s="364">
        <v>92</v>
      </c>
    </row>
    <row r="39" spans="1:10" x14ac:dyDescent="0.25">
      <c r="A39" s="376" t="s">
        <v>277</v>
      </c>
      <c r="B39" s="359">
        <v>160</v>
      </c>
      <c r="C39" s="359">
        <v>8.1999999999999993</v>
      </c>
      <c r="D39" s="359">
        <v>55</v>
      </c>
      <c r="E39" s="364"/>
      <c r="F39" s="364">
        <v>10300</v>
      </c>
      <c r="G39" s="366"/>
      <c r="H39" s="366"/>
      <c r="I39" s="364">
        <v>140</v>
      </c>
      <c r="J39" s="364">
        <v>140</v>
      </c>
    </row>
    <row r="40" spans="1:10" x14ac:dyDescent="0.25">
      <c r="A40" s="369" t="s">
        <v>278</v>
      </c>
      <c r="B40" s="359">
        <v>7760</v>
      </c>
      <c r="C40" s="359">
        <v>5.3299999999999995E-4</v>
      </c>
      <c r="D40" s="359">
        <v>3.1</v>
      </c>
      <c r="E40" s="364"/>
      <c r="F40" s="364">
        <v>12</v>
      </c>
      <c r="G40" s="366"/>
      <c r="H40" s="366"/>
      <c r="I40" s="364">
        <v>140</v>
      </c>
      <c r="J40" s="364">
        <v>140</v>
      </c>
    </row>
    <row r="41" spans="1:10" ht="12.75" customHeight="1" x14ac:dyDescent="0.25">
      <c r="A41" s="369" t="s">
        <v>279</v>
      </c>
      <c r="B41" s="359">
        <v>468</v>
      </c>
      <c r="C41" s="359">
        <v>3.4849999999999999E-2</v>
      </c>
      <c r="D41" s="359">
        <v>4400</v>
      </c>
      <c r="E41" s="364"/>
      <c r="F41" s="364">
        <v>0.13</v>
      </c>
      <c r="G41" s="372">
        <v>1.1000000000000001</v>
      </c>
      <c r="H41" s="364">
        <v>11</v>
      </c>
      <c r="I41" s="364"/>
      <c r="J41" s="364">
        <v>26</v>
      </c>
    </row>
    <row r="42" spans="1:10" x14ac:dyDescent="0.25">
      <c r="A42" s="369" t="s">
        <v>280</v>
      </c>
      <c r="B42" s="359">
        <v>58</v>
      </c>
      <c r="C42" s="359">
        <v>4.0999999999999996</v>
      </c>
      <c r="D42" s="359">
        <v>280</v>
      </c>
      <c r="E42" s="364"/>
      <c r="F42" s="364">
        <v>390</v>
      </c>
      <c r="G42" s="366"/>
      <c r="H42" s="366"/>
      <c r="I42" s="364">
        <v>94</v>
      </c>
      <c r="J42" s="364">
        <v>310</v>
      </c>
    </row>
    <row r="43" spans="1:10" x14ac:dyDescent="0.25">
      <c r="A43" s="376" t="s">
        <v>281</v>
      </c>
      <c r="B43" s="359">
        <v>570</v>
      </c>
      <c r="C43" s="359">
        <v>0.43869999999999998</v>
      </c>
      <c r="D43" s="359">
        <v>1800</v>
      </c>
      <c r="E43" s="364"/>
      <c r="F43" s="364">
        <v>0.4</v>
      </c>
      <c r="G43" s="366"/>
      <c r="H43" s="366"/>
      <c r="I43" s="371">
        <v>0.54</v>
      </c>
      <c r="J43" s="372">
        <v>1.8</v>
      </c>
    </row>
    <row r="44" spans="1:10" x14ac:dyDescent="0.25">
      <c r="A44" s="368" t="s">
        <v>224</v>
      </c>
      <c r="B44" s="359">
        <f>'Alt-GPL Calc for VOCs'!$K$9</f>
        <v>1</v>
      </c>
      <c r="C44" s="359">
        <f>'Alt-GPL Calc for VOCs'!K7</f>
        <v>1</v>
      </c>
      <c r="D44" s="363">
        <f>'Alt-GPL Calc for VOCs'!K8</f>
        <v>1</v>
      </c>
      <c r="E44" s="361"/>
      <c r="F44" s="361"/>
      <c r="G44" s="362"/>
      <c r="H44" s="362"/>
      <c r="I44" s="362"/>
      <c r="J44" s="362"/>
    </row>
    <row r="45" spans="1:10" x14ac:dyDescent="0.25">
      <c r="A45" s="368" t="s">
        <v>194</v>
      </c>
      <c r="B45" s="359">
        <v>363</v>
      </c>
      <c r="C45" s="359">
        <v>0.32300000000000001</v>
      </c>
      <c r="D45" s="363">
        <v>170</v>
      </c>
      <c r="E45" s="361">
        <v>700</v>
      </c>
      <c r="F45" s="361"/>
      <c r="G45" s="362"/>
      <c r="H45" s="362"/>
      <c r="I45" s="361">
        <v>400</v>
      </c>
      <c r="J45" s="361">
        <v>400</v>
      </c>
    </row>
    <row r="46" spans="1:10" ht="12.75" customHeight="1" x14ac:dyDescent="0.25">
      <c r="A46" s="376" t="s">
        <v>282</v>
      </c>
      <c r="B46" s="359">
        <v>2.2000000000000002</v>
      </c>
      <c r="C46" s="359">
        <v>3.0995999999999997E-3</v>
      </c>
      <c r="D46" s="359">
        <v>1000000</v>
      </c>
      <c r="E46" s="364"/>
      <c r="F46" s="364">
        <v>2.4E-2</v>
      </c>
      <c r="G46" s="371">
        <v>0.14000000000000001</v>
      </c>
      <c r="H46" s="372">
        <v>1.4</v>
      </c>
      <c r="I46" s="372"/>
      <c r="J46" s="372">
        <v>3.4</v>
      </c>
    </row>
    <row r="47" spans="1:10" x14ac:dyDescent="0.25">
      <c r="A47" s="376" t="s">
        <v>283</v>
      </c>
      <c r="B47" s="359">
        <v>13800</v>
      </c>
      <c r="C47" s="359">
        <v>3.1570000000000001E-3</v>
      </c>
      <c r="D47" s="359">
        <v>1.9</v>
      </c>
      <c r="E47" s="364"/>
      <c r="F47" s="364">
        <v>240</v>
      </c>
      <c r="G47" s="366"/>
      <c r="H47" s="366"/>
      <c r="I47" s="364">
        <v>2700</v>
      </c>
      <c r="J47" s="364">
        <v>26000</v>
      </c>
    </row>
    <row r="48" spans="1:10" x14ac:dyDescent="0.25">
      <c r="A48" s="375" t="s">
        <v>284</v>
      </c>
      <c r="B48" s="374">
        <v>3380</v>
      </c>
      <c r="C48" s="374">
        <v>2.1000000000000001E-4</v>
      </c>
      <c r="D48" s="374">
        <v>8</v>
      </c>
      <c r="E48" s="361">
        <v>0.2</v>
      </c>
      <c r="F48" s="361"/>
      <c r="G48" s="371">
        <v>0.5</v>
      </c>
      <c r="H48" s="372">
        <v>5</v>
      </c>
      <c r="I48" s="379"/>
      <c r="J48" s="364">
        <v>17</v>
      </c>
    </row>
    <row r="49" spans="1:10" x14ac:dyDescent="0.25">
      <c r="A49" s="375" t="s">
        <v>285</v>
      </c>
      <c r="B49" s="374">
        <v>3380</v>
      </c>
      <c r="C49" s="374">
        <v>1.7499999999999998E-5</v>
      </c>
      <c r="D49" s="374">
        <v>8</v>
      </c>
      <c r="E49" s="364"/>
      <c r="F49" s="364">
        <v>6.1999999999999998E-3</v>
      </c>
      <c r="G49" s="371">
        <v>0.36</v>
      </c>
      <c r="H49" s="372">
        <v>3.6</v>
      </c>
      <c r="I49" s="379"/>
      <c r="J49" s="364">
        <v>13</v>
      </c>
    </row>
    <row r="50" spans="1:10" x14ac:dyDescent="0.25">
      <c r="A50" s="375" t="s">
        <v>286</v>
      </c>
      <c r="B50" s="374">
        <v>52400</v>
      </c>
      <c r="C50" s="374">
        <v>1.2E-2</v>
      </c>
      <c r="D50" s="374">
        <v>0.18</v>
      </c>
      <c r="E50" s="361">
        <v>0.4</v>
      </c>
      <c r="F50" s="361"/>
      <c r="G50" s="371">
        <v>0.12</v>
      </c>
      <c r="H50" s="372">
        <v>1.2</v>
      </c>
      <c r="I50" s="366"/>
      <c r="J50" s="372">
        <v>3.8</v>
      </c>
    </row>
    <row r="51" spans="1:10" x14ac:dyDescent="0.25">
      <c r="A51" s="375" t="s">
        <v>287</v>
      </c>
      <c r="B51" s="374">
        <v>5260</v>
      </c>
      <c r="C51" s="374">
        <v>8.5899999999999995E-4</v>
      </c>
      <c r="D51" s="374">
        <v>0.2</v>
      </c>
      <c r="E51" s="361">
        <v>0.2</v>
      </c>
      <c r="F51" s="361"/>
      <c r="G51" s="370">
        <v>0.06</v>
      </c>
      <c r="H51" s="371">
        <v>0.6</v>
      </c>
      <c r="I51" s="372"/>
      <c r="J51" s="372">
        <v>1.9</v>
      </c>
    </row>
    <row r="52" spans="1:10" x14ac:dyDescent="0.25">
      <c r="A52" s="375" t="s">
        <v>288</v>
      </c>
      <c r="B52" s="374">
        <v>3380</v>
      </c>
      <c r="C52" s="374">
        <v>6.9500000000000006E-2</v>
      </c>
      <c r="D52" s="374">
        <v>6.1999999999999998E-3</v>
      </c>
      <c r="E52" s="361">
        <v>1</v>
      </c>
      <c r="F52" s="361"/>
      <c r="G52" s="371">
        <v>0.34</v>
      </c>
      <c r="H52" s="372">
        <v>3.4</v>
      </c>
      <c r="I52" s="379"/>
      <c r="J52" s="364">
        <v>11</v>
      </c>
    </row>
    <row r="53" spans="1:10" x14ac:dyDescent="0.25">
      <c r="A53" s="375" t="s">
        <v>289</v>
      </c>
      <c r="B53" s="374">
        <v>993.5</v>
      </c>
      <c r="C53" s="374">
        <v>0.42099999999999999</v>
      </c>
      <c r="D53" s="374">
        <v>3.2</v>
      </c>
      <c r="E53" s="364"/>
      <c r="F53" s="364">
        <v>0.14000000000000001</v>
      </c>
      <c r="G53" s="372">
        <v>7</v>
      </c>
      <c r="H53" s="364">
        <v>70</v>
      </c>
      <c r="I53" s="364">
        <v>18</v>
      </c>
      <c r="J53" s="364">
        <v>180</v>
      </c>
    </row>
    <row r="54" spans="1:10" x14ac:dyDescent="0.25">
      <c r="A54" s="375" t="s">
        <v>290</v>
      </c>
      <c r="B54" s="374">
        <v>1667</v>
      </c>
      <c r="C54" s="374">
        <v>1.1000000000000001</v>
      </c>
      <c r="D54" s="374">
        <v>1.8</v>
      </c>
      <c r="E54" s="361">
        <v>50</v>
      </c>
      <c r="F54" s="361"/>
      <c r="G54" s="366"/>
      <c r="H54" s="366"/>
      <c r="I54" s="364">
        <v>370</v>
      </c>
      <c r="J54" s="364">
        <v>3700</v>
      </c>
    </row>
    <row r="55" spans="1:10" x14ac:dyDescent="0.25">
      <c r="A55" s="375" t="s">
        <v>291</v>
      </c>
      <c r="B55" s="374">
        <v>224.7</v>
      </c>
      <c r="C55" s="374">
        <v>0.159</v>
      </c>
      <c r="D55" s="374">
        <v>50</v>
      </c>
      <c r="E55" s="364"/>
      <c r="F55" s="364">
        <v>0.8</v>
      </c>
      <c r="G55" s="364">
        <v>39</v>
      </c>
      <c r="H55" s="364">
        <v>390</v>
      </c>
      <c r="I55" s="364">
        <v>61</v>
      </c>
      <c r="J55" s="364">
        <v>620</v>
      </c>
    </row>
    <row r="56" spans="1:10" x14ac:dyDescent="0.25">
      <c r="A56" s="368" t="s">
        <v>195</v>
      </c>
      <c r="B56" s="359">
        <v>10.5</v>
      </c>
      <c r="C56" s="359">
        <v>0.25600000000000001</v>
      </c>
      <c r="D56" s="363">
        <v>12000</v>
      </c>
      <c r="E56" s="364"/>
      <c r="F56" s="364">
        <v>8.6999999999999993</v>
      </c>
      <c r="G56" s="362"/>
      <c r="H56" s="362"/>
      <c r="I56" s="372">
        <v>3.9</v>
      </c>
      <c r="J56" s="364">
        <v>13</v>
      </c>
    </row>
    <row r="57" spans="1:10" x14ac:dyDescent="0.25">
      <c r="A57" s="376" t="s">
        <v>292</v>
      </c>
      <c r="B57" s="359">
        <v>4.5</v>
      </c>
      <c r="C57" s="359">
        <v>1.1233999999999999E-3</v>
      </c>
      <c r="D57" s="359">
        <v>268000</v>
      </c>
      <c r="E57" s="364"/>
      <c r="F57" s="364">
        <v>4200</v>
      </c>
      <c r="G57" s="366"/>
      <c r="H57" s="366"/>
      <c r="I57" s="364">
        <v>23000</v>
      </c>
      <c r="J57" s="364">
        <v>34000</v>
      </c>
    </row>
    <row r="58" spans="1:10" x14ac:dyDescent="0.25">
      <c r="A58" s="376" t="s">
        <v>293</v>
      </c>
      <c r="B58" s="359">
        <v>134</v>
      </c>
      <c r="C58" s="359">
        <v>5.7399999999999994E-3</v>
      </c>
      <c r="D58" s="359">
        <v>19000</v>
      </c>
      <c r="E58" s="364"/>
      <c r="F58" s="364">
        <v>560</v>
      </c>
      <c r="G58" s="366"/>
      <c r="H58" s="366"/>
      <c r="I58" s="364">
        <v>5300</v>
      </c>
      <c r="J58" s="364">
        <v>17000</v>
      </c>
    </row>
    <row r="59" spans="1:10" x14ac:dyDescent="0.25">
      <c r="A59" s="376" t="s">
        <v>294</v>
      </c>
      <c r="B59" s="359">
        <v>6</v>
      </c>
      <c r="C59" s="359">
        <v>2.4066999999999998E-2</v>
      </c>
      <c r="D59" s="359">
        <v>150000</v>
      </c>
      <c r="E59" s="364"/>
      <c r="F59" s="364">
        <v>11</v>
      </c>
      <c r="G59" s="364">
        <v>32</v>
      </c>
      <c r="H59" s="364">
        <v>320</v>
      </c>
      <c r="I59" s="364"/>
      <c r="J59" s="364">
        <v>710</v>
      </c>
    </row>
    <row r="60" spans="1:10" x14ac:dyDescent="0.25">
      <c r="A60" s="376" t="s">
        <v>295</v>
      </c>
      <c r="B60" s="359">
        <v>2188</v>
      </c>
      <c r="C60" s="359">
        <v>17.63</v>
      </c>
      <c r="D60" s="359">
        <v>14</v>
      </c>
      <c r="E60" s="364"/>
      <c r="F60" s="364">
        <v>5200</v>
      </c>
      <c r="G60" s="366"/>
      <c r="H60" s="366"/>
      <c r="I60" s="364">
        <v>230</v>
      </c>
      <c r="J60" s="364">
        <v>230</v>
      </c>
    </row>
    <row r="61" spans="1:10" x14ac:dyDescent="0.25">
      <c r="A61" s="376" t="s">
        <v>296</v>
      </c>
      <c r="B61" s="359">
        <v>25</v>
      </c>
      <c r="C61" s="359">
        <v>3.6900000000000002E-2</v>
      </c>
      <c r="D61" s="359">
        <v>11700</v>
      </c>
      <c r="E61" s="364"/>
      <c r="F61" s="364">
        <v>61</v>
      </c>
      <c r="G61" s="366"/>
      <c r="H61" s="366"/>
      <c r="I61" s="364">
        <v>67</v>
      </c>
      <c r="J61" s="364">
        <v>230</v>
      </c>
    </row>
    <row r="62" spans="1:10" x14ac:dyDescent="0.25">
      <c r="A62" s="368" t="s">
        <v>196</v>
      </c>
      <c r="B62" s="359">
        <v>11.7</v>
      </c>
      <c r="C62" s="359">
        <v>8.9800000000000005E-2</v>
      </c>
      <c r="D62" s="359">
        <v>13200</v>
      </c>
      <c r="E62" s="364"/>
      <c r="F62" s="364">
        <v>4.3</v>
      </c>
      <c r="G62" s="365">
        <v>9.3000000000000007</v>
      </c>
      <c r="H62" s="361">
        <v>93</v>
      </c>
      <c r="I62" s="362"/>
      <c r="J62" s="361">
        <v>210</v>
      </c>
    </row>
    <row r="63" spans="1:10" x14ac:dyDescent="0.25">
      <c r="A63" s="376" t="s">
        <v>297</v>
      </c>
      <c r="B63" s="359">
        <v>1191</v>
      </c>
      <c r="C63" s="359">
        <v>1.9802999999999998E-2</v>
      </c>
      <c r="D63" s="359">
        <v>31</v>
      </c>
      <c r="E63" s="364"/>
      <c r="F63" s="364">
        <v>6.2</v>
      </c>
      <c r="G63" s="366"/>
      <c r="H63" s="366"/>
      <c r="I63" s="364">
        <v>56</v>
      </c>
      <c r="J63" s="364">
        <v>190</v>
      </c>
    </row>
    <row r="64" spans="1:10" x14ac:dyDescent="0.25">
      <c r="A64" s="376" t="s">
        <v>298</v>
      </c>
      <c r="B64" s="359">
        <v>2830</v>
      </c>
      <c r="C64" s="359">
        <v>0.53710000000000002</v>
      </c>
      <c r="D64" s="359">
        <v>13.8</v>
      </c>
      <c r="E64" s="364"/>
      <c r="F64" s="364">
        <v>240</v>
      </c>
      <c r="G64" s="364"/>
      <c r="H64" s="364"/>
      <c r="I64" s="364">
        <v>240</v>
      </c>
      <c r="J64" s="364">
        <v>240</v>
      </c>
    </row>
    <row r="65" spans="1:16" x14ac:dyDescent="0.25">
      <c r="A65" s="376" t="s">
        <v>299</v>
      </c>
      <c r="B65" s="359">
        <v>890</v>
      </c>
      <c r="C65" s="359">
        <v>5.0019999999999998</v>
      </c>
      <c r="D65" s="359">
        <v>18</v>
      </c>
      <c r="E65" s="364"/>
      <c r="F65" s="364">
        <v>1500</v>
      </c>
      <c r="G65" s="366"/>
      <c r="H65" s="366"/>
      <c r="I65" s="364">
        <v>110</v>
      </c>
      <c r="J65" s="364">
        <v>110</v>
      </c>
    </row>
    <row r="66" spans="1:16" x14ac:dyDescent="0.25">
      <c r="A66" s="376" t="s">
        <v>300</v>
      </c>
      <c r="B66" s="359">
        <v>64.599999999999994</v>
      </c>
      <c r="C66" s="359">
        <v>9.7990000000000013E-4</v>
      </c>
      <c r="D66" s="359">
        <v>2100</v>
      </c>
      <c r="E66" s="364"/>
      <c r="F66" s="364">
        <v>3.4</v>
      </c>
      <c r="G66" s="366"/>
      <c r="H66" s="366"/>
      <c r="I66" s="364">
        <v>20</v>
      </c>
      <c r="J66" s="364">
        <v>100</v>
      </c>
    </row>
    <row r="67" spans="1:16" x14ac:dyDescent="0.25">
      <c r="A67" s="376" t="s">
        <v>301</v>
      </c>
      <c r="B67" s="359">
        <v>2830</v>
      </c>
      <c r="C67" s="359">
        <v>0.53710000000000002</v>
      </c>
      <c r="D67" s="359">
        <v>13.8</v>
      </c>
      <c r="E67" s="364"/>
      <c r="F67" s="364">
        <v>240</v>
      </c>
      <c r="G67" s="366"/>
      <c r="H67" s="366"/>
      <c r="I67" s="364">
        <v>240</v>
      </c>
      <c r="J67" s="364">
        <v>240</v>
      </c>
    </row>
    <row r="68" spans="1:16" x14ac:dyDescent="0.25">
      <c r="A68" s="380" t="s">
        <v>302</v>
      </c>
      <c r="B68" s="381">
        <v>105000</v>
      </c>
      <c r="C68" s="381">
        <v>4.5100000000000001E-4</v>
      </c>
      <c r="D68" s="381">
        <v>0.13500000000000001</v>
      </c>
      <c r="E68" s="382"/>
      <c r="F68" s="382">
        <v>180</v>
      </c>
      <c r="G68" s="383"/>
      <c r="H68" s="383"/>
      <c r="I68" s="382">
        <v>2300</v>
      </c>
      <c r="J68" s="382">
        <v>29000</v>
      </c>
    </row>
    <row r="69" spans="1:16" x14ac:dyDescent="0.25">
      <c r="A69" s="376" t="s">
        <v>303</v>
      </c>
      <c r="B69" s="359">
        <v>2150</v>
      </c>
      <c r="C69" s="359">
        <v>0.76670000000000005</v>
      </c>
      <c r="D69" s="359">
        <v>17</v>
      </c>
      <c r="E69" s="364"/>
      <c r="F69" s="364">
        <v>240</v>
      </c>
      <c r="G69" s="364"/>
      <c r="H69" s="364"/>
      <c r="I69" s="364">
        <v>220</v>
      </c>
      <c r="J69" s="364">
        <v>220</v>
      </c>
    </row>
    <row r="70" spans="1:16" x14ac:dyDescent="0.25">
      <c r="A70" s="368" t="s">
        <v>197</v>
      </c>
      <c r="B70" s="359">
        <v>776</v>
      </c>
      <c r="C70" s="359">
        <v>0.113</v>
      </c>
      <c r="D70" s="360">
        <v>310</v>
      </c>
      <c r="E70" s="361">
        <v>100</v>
      </c>
      <c r="F70" s="361"/>
      <c r="G70" s="362"/>
      <c r="H70" s="362"/>
      <c r="I70" s="361">
        <v>1500</v>
      </c>
      <c r="J70" s="361">
        <v>1500</v>
      </c>
    </row>
    <row r="71" spans="1:16" x14ac:dyDescent="0.25">
      <c r="A71" s="376" t="s">
        <v>304</v>
      </c>
      <c r="B71" s="359">
        <v>2150</v>
      </c>
      <c r="C71" s="359">
        <v>0.51659999999999995</v>
      </c>
      <c r="D71" s="359">
        <v>30</v>
      </c>
      <c r="E71" s="364"/>
      <c r="F71" s="364">
        <v>240</v>
      </c>
      <c r="G71" s="364"/>
      <c r="H71" s="364"/>
      <c r="I71" s="364">
        <v>220</v>
      </c>
      <c r="J71" s="364">
        <v>220</v>
      </c>
    </row>
    <row r="72" spans="1:16" x14ac:dyDescent="0.25">
      <c r="A72" s="384" t="s">
        <v>199</v>
      </c>
      <c r="B72" s="381">
        <v>155</v>
      </c>
      <c r="C72" s="381">
        <v>0.754</v>
      </c>
      <c r="D72" s="385">
        <v>200</v>
      </c>
      <c r="E72" s="386">
        <v>5</v>
      </c>
      <c r="F72" s="386"/>
      <c r="G72" s="387">
        <v>0.51</v>
      </c>
      <c r="H72" s="388">
        <v>5.0999999999999996</v>
      </c>
      <c r="I72" s="387"/>
      <c r="J72" s="386">
        <v>13</v>
      </c>
    </row>
    <row r="73" spans="1:16" x14ac:dyDescent="0.25">
      <c r="A73" s="380" t="s">
        <v>305</v>
      </c>
      <c r="B73" s="381">
        <v>0.95</v>
      </c>
      <c r="C73" s="381">
        <v>2.8699999999999997E-3</v>
      </c>
      <c r="D73" s="381">
        <v>1000000</v>
      </c>
      <c r="E73" s="382"/>
      <c r="F73" s="382">
        <v>1.6</v>
      </c>
      <c r="G73" s="389">
        <v>9.5</v>
      </c>
      <c r="H73" s="382">
        <v>95</v>
      </c>
      <c r="I73" s="382"/>
      <c r="J73" s="382">
        <v>210</v>
      </c>
    </row>
    <row r="74" spans="1:16" x14ac:dyDescent="0.25">
      <c r="A74" s="368" t="s">
        <v>200</v>
      </c>
      <c r="B74" s="359">
        <v>182</v>
      </c>
      <c r="C74" s="359">
        <v>0.27200000000000002</v>
      </c>
      <c r="D74" s="363">
        <v>530</v>
      </c>
      <c r="E74" s="361">
        <v>1000</v>
      </c>
      <c r="F74" s="361"/>
      <c r="G74" s="362"/>
      <c r="H74" s="362"/>
      <c r="I74" s="361">
        <v>650</v>
      </c>
      <c r="J74" s="361">
        <v>650</v>
      </c>
    </row>
    <row r="75" spans="1:16" x14ac:dyDescent="0.25">
      <c r="A75" s="378" t="s">
        <v>222</v>
      </c>
      <c r="B75" s="359">
        <v>52.5</v>
      </c>
      <c r="C75" s="359">
        <v>0.38500000000000001</v>
      </c>
      <c r="D75" s="363">
        <v>6300</v>
      </c>
      <c r="E75" s="361">
        <v>100</v>
      </c>
      <c r="F75" s="361"/>
      <c r="G75" s="362"/>
      <c r="H75" s="362"/>
      <c r="I75" s="361">
        <v>69</v>
      </c>
      <c r="J75" s="361">
        <v>230</v>
      </c>
    </row>
    <row r="76" spans="1:16" x14ac:dyDescent="0.25">
      <c r="A76" s="358" t="s">
        <v>203</v>
      </c>
      <c r="B76" s="359">
        <v>166</v>
      </c>
      <c r="C76" s="359">
        <v>0.42199999999999999</v>
      </c>
      <c r="D76" s="363">
        <v>1100</v>
      </c>
      <c r="E76" s="361">
        <v>5</v>
      </c>
      <c r="F76" s="361"/>
      <c r="G76" s="365">
        <v>3</v>
      </c>
      <c r="H76" s="361">
        <v>30</v>
      </c>
      <c r="I76" s="361">
        <v>17</v>
      </c>
      <c r="J76" s="361">
        <v>65</v>
      </c>
    </row>
    <row r="77" spans="1:16" x14ac:dyDescent="0.25">
      <c r="A77" s="368" t="s">
        <v>206</v>
      </c>
      <c r="B77" s="359">
        <v>5.25</v>
      </c>
      <c r="C77" s="359">
        <v>2.1000000000000001E-2</v>
      </c>
      <c r="D77" s="363">
        <v>20000</v>
      </c>
      <c r="E77" s="364"/>
      <c r="F77" s="364">
        <v>410</v>
      </c>
      <c r="G77" s="362"/>
      <c r="H77" s="362"/>
      <c r="I77" s="361">
        <v>430</v>
      </c>
      <c r="J77" s="361">
        <v>1400</v>
      </c>
    </row>
    <row r="78" spans="1:16" x14ac:dyDescent="0.25">
      <c r="A78" s="376" t="s">
        <v>306</v>
      </c>
      <c r="B78" s="359">
        <v>18.600000000000001</v>
      </c>
      <c r="C78" s="359">
        <v>1.107</v>
      </c>
      <c r="D78" s="359">
        <v>2760</v>
      </c>
      <c r="E78" s="361">
        <v>2</v>
      </c>
      <c r="F78" s="361"/>
      <c r="G78" s="370">
        <v>8.5000000000000006E-2</v>
      </c>
      <c r="H78" s="379" t="s">
        <v>209</v>
      </c>
      <c r="I78" s="379"/>
      <c r="J78" s="371">
        <v>0.75</v>
      </c>
    </row>
    <row r="79" spans="1:16" ht="13.8" thickBot="1" x14ac:dyDescent="0.3">
      <c r="A79" s="390" t="s">
        <v>517</v>
      </c>
      <c r="B79" s="359">
        <v>386</v>
      </c>
      <c r="C79" s="359">
        <v>0.27600000000000002</v>
      </c>
      <c r="D79" s="363">
        <v>160</v>
      </c>
      <c r="E79" s="361">
        <v>10000</v>
      </c>
      <c r="F79" s="361"/>
      <c r="G79" s="362"/>
      <c r="H79" s="362"/>
      <c r="I79" s="361">
        <v>270</v>
      </c>
      <c r="J79" s="361">
        <v>420</v>
      </c>
    </row>
    <row r="80" spans="1:16" ht="13.8" thickTop="1" x14ac:dyDescent="0.25">
      <c r="A80" s="391" t="s">
        <v>307</v>
      </c>
      <c r="B80" s="392"/>
      <c r="C80" s="392"/>
      <c r="D80" s="393"/>
      <c r="E80" s="394"/>
      <c r="F80" s="394"/>
      <c r="G80" s="395"/>
      <c r="H80" s="395"/>
      <c r="I80" s="395"/>
      <c r="J80" s="393"/>
      <c r="K80" s="396"/>
      <c r="L80" s="396"/>
      <c r="M80" s="396"/>
      <c r="N80" s="396"/>
      <c r="O80" s="396"/>
      <c r="P80" s="396"/>
    </row>
    <row r="81" spans="1:10" x14ac:dyDescent="0.25">
      <c r="A81" s="575" t="s">
        <v>331</v>
      </c>
      <c r="B81" s="575"/>
      <c r="C81" s="575"/>
      <c r="D81" s="575"/>
      <c r="E81" s="575"/>
      <c r="F81" s="575"/>
      <c r="G81" s="575"/>
      <c r="H81" s="575"/>
      <c r="I81" s="575"/>
      <c r="J81" s="575"/>
    </row>
    <row r="82" spans="1:10" x14ac:dyDescent="0.25">
      <c r="A82" s="576"/>
      <c r="B82" s="576"/>
      <c r="C82" s="576"/>
      <c r="D82" s="576"/>
      <c r="E82" s="576"/>
      <c r="F82" s="576"/>
      <c r="G82" s="576"/>
      <c r="H82" s="576"/>
      <c r="I82" s="576"/>
      <c r="J82" s="576"/>
    </row>
    <row r="83" spans="1:10" ht="13.8" x14ac:dyDescent="0.3">
      <c r="A83" s="397" t="s">
        <v>519</v>
      </c>
      <c r="B83" s="398"/>
      <c r="C83" s="398"/>
      <c r="D83" s="398"/>
      <c r="E83" s="399"/>
      <c r="F83" s="399"/>
      <c r="G83" s="398"/>
      <c r="H83" s="398"/>
      <c r="I83" s="398"/>
      <c r="J83" s="398"/>
    </row>
    <row r="84" spans="1:10" x14ac:dyDescent="0.25">
      <c r="A84" s="397" t="s">
        <v>520</v>
      </c>
      <c r="B84" s="398"/>
      <c r="C84" s="398"/>
      <c r="D84" s="398"/>
      <c r="E84" s="399"/>
      <c r="F84" s="399"/>
      <c r="G84" s="398"/>
      <c r="H84" s="398"/>
      <c r="I84" s="398"/>
      <c r="J84" s="398"/>
    </row>
    <row r="85" spans="1:10" x14ac:dyDescent="0.25">
      <c r="A85" s="396" t="s">
        <v>443</v>
      </c>
      <c r="C85" s="400"/>
      <c r="D85" s="400"/>
      <c r="E85" s="401"/>
      <c r="F85" s="401"/>
      <c r="G85" s="400"/>
      <c r="H85" s="400"/>
      <c r="I85" s="400"/>
      <c r="J85" s="400"/>
    </row>
    <row r="86" spans="1:10" ht="13.8" x14ac:dyDescent="0.3">
      <c r="A86" s="402" t="s">
        <v>518</v>
      </c>
      <c r="B86" s="400"/>
      <c r="C86" s="400"/>
      <c r="D86" s="400"/>
      <c r="E86" s="401"/>
      <c r="F86" s="401"/>
      <c r="G86" s="400"/>
      <c r="H86" s="400"/>
      <c r="I86" s="400"/>
      <c r="J86" s="400"/>
    </row>
    <row r="87" spans="1:10" x14ac:dyDescent="0.25">
      <c r="A87" s="571" t="s">
        <v>223</v>
      </c>
      <c r="B87" s="571"/>
      <c r="C87" s="571"/>
      <c r="D87" s="571"/>
      <c r="E87" s="571"/>
      <c r="F87" s="571"/>
      <c r="G87" s="571"/>
      <c r="H87" s="571"/>
      <c r="I87" s="571"/>
      <c r="J87" s="571"/>
    </row>
    <row r="88" spans="1:10" x14ac:dyDescent="0.25">
      <c r="A88" s="571"/>
      <c r="B88" s="571"/>
      <c r="C88" s="571"/>
      <c r="D88" s="571"/>
      <c r="E88" s="571"/>
      <c r="F88" s="571"/>
      <c r="G88" s="571"/>
      <c r="H88" s="571"/>
      <c r="I88" s="571"/>
      <c r="J88" s="571"/>
    </row>
    <row r="89" spans="1:10" x14ac:dyDescent="0.25">
      <c r="A89" s="400" t="s">
        <v>1</v>
      </c>
      <c r="B89" s="400"/>
      <c r="C89" s="400">
        <v>1E-3</v>
      </c>
      <c r="D89" s="400"/>
      <c r="E89" s="401"/>
      <c r="F89" s="401"/>
      <c r="G89" s="400"/>
      <c r="H89" s="400"/>
      <c r="I89" s="400"/>
      <c r="J89" s="400"/>
    </row>
    <row r="90" spans="1:10" x14ac:dyDescent="0.25">
      <c r="A90" s="400" t="s">
        <v>214</v>
      </c>
      <c r="B90" s="400"/>
      <c r="C90" s="400">
        <v>1.5</v>
      </c>
      <c r="D90" s="400"/>
      <c r="E90" s="401"/>
      <c r="F90" s="401"/>
      <c r="G90" s="400"/>
      <c r="H90" s="400"/>
      <c r="I90" s="400"/>
      <c r="J90" s="400"/>
    </row>
    <row r="91" spans="1:10" x14ac:dyDescent="0.25">
      <c r="A91" s="400" t="s">
        <v>215</v>
      </c>
      <c r="B91" s="400"/>
      <c r="C91" s="400">
        <v>0.1</v>
      </c>
      <c r="D91" s="400"/>
      <c r="E91" s="401"/>
      <c r="F91" s="401"/>
      <c r="G91" s="400"/>
      <c r="H91" s="400"/>
      <c r="I91" s="400"/>
      <c r="J91" s="400"/>
    </row>
    <row r="92" spans="1:10" x14ac:dyDescent="0.25">
      <c r="A92" s="400" t="s">
        <v>216</v>
      </c>
      <c r="B92" s="400"/>
      <c r="C92" s="400">
        <v>0.15</v>
      </c>
      <c r="D92" s="400"/>
      <c r="E92" s="401"/>
      <c r="F92" s="401"/>
      <c r="G92" s="400"/>
      <c r="H92" s="400"/>
      <c r="I92" s="400"/>
      <c r="J92" s="400"/>
    </row>
    <row r="93" spans="1:10" x14ac:dyDescent="0.25">
      <c r="A93" s="400"/>
      <c r="B93" s="400"/>
      <c r="C93" s="400"/>
      <c r="D93" s="400"/>
      <c r="E93" s="401"/>
      <c r="F93" s="401"/>
      <c r="G93" s="396"/>
      <c r="H93" s="400"/>
      <c r="I93" s="400"/>
      <c r="J93" s="400"/>
    </row>
    <row r="94" spans="1:10" x14ac:dyDescent="0.25">
      <c r="A94" s="400" t="s">
        <v>217</v>
      </c>
      <c r="B94" s="400"/>
      <c r="C94" s="400"/>
      <c r="D94" s="400"/>
      <c r="E94" s="401"/>
      <c r="F94" s="401"/>
      <c r="G94" s="400"/>
      <c r="H94" s="400"/>
      <c r="I94" s="400"/>
      <c r="J94" s="400"/>
    </row>
    <row r="95" spans="1:10" x14ac:dyDescent="0.25">
      <c r="E95" s="236"/>
      <c r="F95" s="236"/>
    </row>
    <row r="96" spans="1:10" x14ac:dyDescent="0.25">
      <c r="D96" s="340" t="s">
        <v>308</v>
      </c>
    </row>
    <row r="97" spans="2:12" ht="13.8" thickBot="1" x14ac:dyDescent="0.3"/>
    <row r="98" spans="2:12" ht="14.4" thickTop="1" thickBot="1" x14ac:dyDescent="0.3">
      <c r="B98" s="472" t="s">
        <v>225</v>
      </c>
      <c r="C98" s="473" t="s">
        <v>226</v>
      </c>
      <c r="D98" s="474" t="s">
        <v>561</v>
      </c>
      <c r="E98" s="472" t="s">
        <v>562</v>
      </c>
      <c r="F98" s="475" t="s">
        <v>563</v>
      </c>
      <c r="G98" s="348"/>
      <c r="H98" s="348"/>
      <c r="I98" s="348"/>
      <c r="J98" s="348"/>
      <c r="K98" s="348"/>
      <c r="L98" s="348"/>
    </row>
    <row r="99" spans="2:12" ht="14.4" thickTop="1" thickBot="1" x14ac:dyDescent="0.3">
      <c r="B99" s="476" t="s">
        <v>227</v>
      </c>
      <c r="C99" s="477" t="s">
        <v>13</v>
      </c>
      <c r="D99" s="478">
        <v>0.45900000000000002</v>
      </c>
      <c r="E99" s="479">
        <v>1.43</v>
      </c>
      <c r="F99" s="478">
        <v>0.215</v>
      </c>
    </row>
    <row r="100" spans="2:12" ht="14.4" thickTop="1" thickBot="1" x14ac:dyDescent="0.3">
      <c r="B100" s="480" t="s">
        <v>236</v>
      </c>
      <c r="C100" s="476" t="s">
        <v>236</v>
      </c>
      <c r="D100" s="478">
        <v>0.25</v>
      </c>
      <c r="E100" s="478">
        <v>1.5</v>
      </c>
      <c r="F100" s="478">
        <v>0.15</v>
      </c>
    </row>
    <row r="101" spans="2:12" ht="14.4" thickTop="1" thickBot="1" x14ac:dyDescent="0.3">
      <c r="B101" s="476" t="s">
        <v>238</v>
      </c>
      <c r="C101" s="476"/>
      <c r="D101" s="481">
        <f>'Alt-GPL Calc for VOCs'!K16</f>
        <v>0.5</v>
      </c>
      <c r="E101" s="481">
        <f>'Alt-GPL Calc for VOCs'!K17</f>
        <v>1.5</v>
      </c>
      <c r="F101" s="481">
        <f>'Alt-GPL Calc for VOCs'!K18</f>
        <v>0.45</v>
      </c>
    </row>
    <row r="102" spans="2:12" ht="14.4" thickTop="1" thickBot="1" x14ac:dyDescent="0.3">
      <c r="B102" s="476" t="s">
        <v>327</v>
      </c>
      <c r="C102" s="477" t="s">
        <v>328</v>
      </c>
      <c r="D102" s="478">
        <v>0.25</v>
      </c>
      <c r="E102" s="479">
        <v>1.76</v>
      </c>
      <c r="F102" s="478">
        <v>0.02</v>
      </c>
    </row>
    <row r="103" spans="2:12" ht="14.4" thickTop="1" thickBot="1" x14ac:dyDescent="0.3">
      <c r="B103" s="476" t="s">
        <v>323</v>
      </c>
      <c r="C103" s="477" t="s">
        <v>324</v>
      </c>
      <c r="D103" s="478">
        <v>0.25</v>
      </c>
      <c r="E103" s="479">
        <v>1.66</v>
      </c>
      <c r="F103" s="478">
        <v>0.05</v>
      </c>
    </row>
    <row r="104" spans="2:12" ht="14.4" thickTop="1" thickBot="1" x14ac:dyDescent="0.3">
      <c r="B104" s="476" t="s">
        <v>229</v>
      </c>
      <c r="C104" s="477" t="s">
        <v>228</v>
      </c>
      <c r="D104" s="478">
        <v>0.375</v>
      </c>
      <c r="E104" s="479">
        <v>1.66</v>
      </c>
      <c r="F104" s="478">
        <v>5.3999999999999999E-2</v>
      </c>
    </row>
    <row r="105" spans="2:12" ht="14.4" thickTop="1" thickBot="1" x14ac:dyDescent="0.3">
      <c r="B105" s="476" t="s">
        <v>231</v>
      </c>
      <c r="C105" s="477" t="s">
        <v>230</v>
      </c>
      <c r="D105" s="478">
        <v>0.38500000000000001</v>
      </c>
      <c r="E105" s="479">
        <v>1.63</v>
      </c>
      <c r="F105" s="478">
        <v>0.19700000000000001</v>
      </c>
    </row>
    <row r="106" spans="2:12" ht="14.4" thickTop="1" thickBot="1" x14ac:dyDescent="0.3">
      <c r="B106" s="476" t="s">
        <v>233</v>
      </c>
      <c r="C106" s="477" t="s">
        <v>232</v>
      </c>
      <c r="D106" s="478">
        <v>0.48899999999999999</v>
      </c>
      <c r="E106" s="479">
        <v>1.35</v>
      </c>
      <c r="F106" s="478">
        <v>0.16700000000000001</v>
      </c>
    </row>
    <row r="107" spans="2:12" ht="14.4" thickTop="1" thickBot="1" x14ac:dyDescent="0.3">
      <c r="B107" s="476" t="s">
        <v>235</v>
      </c>
      <c r="C107" s="482" t="s">
        <v>234</v>
      </c>
      <c r="D107" s="478">
        <v>0.48099999999999998</v>
      </c>
      <c r="E107" s="479">
        <v>1.38</v>
      </c>
      <c r="F107" s="478">
        <v>0.216</v>
      </c>
    </row>
    <row r="108" spans="2:12" ht="14.4" thickTop="1" thickBot="1" x14ac:dyDescent="0.3">
      <c r="B108" s="476" t="s">
        <v>325</v>
      </c>
      <c r="C108" s="477" t="s">
        <v>326</v>
      </c>
      <c r="D108" s="478">
        <v>0.35</v>
      </c>
      <c r="E108" s="479">
        <v>1.76</v>
      </c>
      <c r="F108" s="478">
        <v>0.02</v>
      </c>
    </row>
    <row r="109" spans="2:12" ht="14.4" thickTop="1" thickBot="1" x14ac:dyDescent="0.3">
      <c r="B109" s="476" t="s">
        <v>321</v>
      </c>
      <c r="C109" s="477" t="s">
        <v>322</v>
      </c>
      <c r="D109" s="478">
        <v>0.35</v>
      </c>
      <c r="E109" s="479">
        <v>1.66</v>
      </c>
      <c r="F109" s="478">
        <v>0.03</v>
      </c>
    </row>
    <row r="110" spans="2:12" ht="13.8" thickTop="1" x14ac:dyDescent="0.25"/>
  </sheetData>
  <sheetProtection password="FD77" sheet="1" objects="1" scenarios="1"/>
  <mergeCells count="3">
    <mergeCell ref="A87:J88"/>
    <mergeCell ref="G7:I7"/>
    <mergeCell ref="A81:J82"/>
  </mergeCells>
  <phoneticPr fontId="15" type="noConversion"/>
  <hyperlinks>
    <hyperlink ref="A80" r:id="rId1" display="http://www.epa.gov/opptintr/exposure/pubs/episuite.htm" xr:uid="{00000000-0004-0000-0600-000000000000}"/>
  </hyperlinks>
  <pageMargins left="0.75" right="0.75" top="1" bottom="1" header="0.5" footer="0.5"/>
  <pageSetup scale="76" orientation="landscape" r:id="rId2"/>
  <headerFooter alignWithMargins="0"/>
  <rowBreaks count="1" manualBreakCount="1">
    <brk id="9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BC317"/>
  <sheetViews>
    <sheetView view="pageBreakPreview" zoomScale="85" zoomScaleNormal="10" zoomScaleSheetLayoutView="85" workbookViewId="0">
      <selection activeCell="A19" sqref="A19:XFD19"/>
    </sheetView>
  </sheetViews>
  <sheetFormatPr defaultColWidth="9.21875" defaultRowHeight="13.2" x14ac:dyDescent="0.25"/>
  <cols>
    <col min="1" max="1" width="9.21875" style="1"/>
    <col min="2" max="4" width="9.21875" style="1" bestFit="1" customWidth="1"/>
    <col min="5" max="5" width="9.21875" style="1"/>
    <col min="6" max="6" width="9.21875" style="1" bestFit="1" customWidth="1"/>
    <col min="7" max="8" width="9.21875" style="1"/>
    <col min="9" max="12" width="12.44140625" style="1" customWidth="1"/>
    <col min="13" max="13" width="12.44140625" style="1" bestFit="1" customWidth="1"/>
    <col min="14" max="14" width="14.44140625" style="1" bestFit="1" customWidth="1"/>
    <col min="15" max="15" width="11.44140625" style="1" customWidth="1"/>
    <col min="16" max="16" width="9" style="1" customWidth="1"/>
    <col min="17" max="17" width="13.44140625" style="1" customWidth="1"/>
    <col min="18" max="18" width="20.44140625" style="1" customWidth="1"/>
    <col min="19" max="19" width="9.21875" style="1" bestFit="1" customWidth="1"/>
    <col min="20" max="20" width="9.21875" style="1"/>
    <col min="21" max="21" width="14.44140625" style="1" bestFit="1" customWidth="1"/>
    <col min="22" max="24" width="9.21875" style="1"/>
    <col min="25" max="25" width="12.5546875" style="1" bestFit="1" customWidth="1"/>
    <col min="26" max="27" width="9.21875" style="1"/>
    <col min="28" max="28" width="9.21875" style="1" bestFit="1" customWidth="1"/>
    <col min="29" max="31" width="9.21875" style="1"/>
    <col min="32" max="32" width="14.44140625" style="1" bestFit="1" customWidth="1"/>
    <col min="33" max="33" width="9.21875" style="1"/>
    <col min="34" max="34" width="14.44140625" style="1" bestFit="1" customWidth="1"/>
    <col min="35" max="35" width="9.21875" style="1"/>
    <col min="36" max="36" width="14.44140625" style="1" bestFit="1" customWidth="1"/>
    <col min="37" max="37" width="9.21875" style="1"/>
    <col min="38" max="38" width="14.44140625" style="1" bestFit="1" customWidth="1"/>
    <col min="39" max="39" width="9.21875" style="1"/>
    <col min="40" max="40" width="14.44140625" style="1" bestFit="1" customWidth="1"/>
    <col min="41" max="16384" width="9.21875" style="1"/>
  </cols>
  <sheetData>
    <row r="1" spans="1:15" x14ac:dyDescent="0.25">
      <c r="A1" s="8">
        <v>39578</v>
      </c>
      <c r="C1" s="1" t="s">
        <v>153</v>
      </c>
    </row>
    <row r="3" spans="1:15" x14ac:dyDescent="0.25">
      <c r="O3" s="24"/>
    </row>
    <row r="4" spans="1:15" x14ac:dyDescent="0.25">
      <c r="B4" s="1" t="s">
        <v>112</v>
      </c>
      <c r="M4" s="10">
        <f>'Alt-GPL Calc for VOCs'!I13</f>
        <v>100</v>
      </c>
      <c r="N4" s="27"/>
      <c r="O4" s="30"/>
    </row>
    <row r="5" spans="1:15" x14ac:dyDescent="0.25">
      <c r="B5" s="1" t="s">
        <v>147</v>
      </c>
      <c r="M5" s="10">
        <f>$M$4*$M$10</f>
        <v>150</v>
      </c>
      <c r="N5" s="27"/>
      <c r="O5" s="30"/>
    </row>
    <row r="6" spans="1:15" x14ac:dyDescent="0.25">
      <c r="B6" s="1" t="s">
        <v>94</v>
      </c>
      <c r="M6" s="10">
        <f>'Alt-GPL Calc for VOCs'!$I$11</f>
        <v>100000</v>
      </c>
      <c r="N6" s="27"/>
      <c r="O6" s="30"/>
    </row>
    <row r="7" spans="1:15" x14ac:dyDescent="0.25">
      <c r="B7" s="1" t="s">
        <v>95</v>
      </c>
      <c r="M7" s="7">
        <f>'Alt-GPL Calc for VOCs'!I7</f>
        <v>1</v>
      </c>
      <c r="N7" s="27"/>
      <c r="O7" s="30"/>
    </row>
    <row r="8" spans="1:15" x14ac:dyDescent="0.25">
      <c r="B8" s="1" t="s">
        <v>180</v>
      </c>
      <c r="M8" s="7">
        <f>'Alt-GPL Calc for VOCs'!I8</f>
        <v>1</v>
      </c>
      <c r="N8" s="27"/>
      <c r="O8" s="30"/>
    </row>
    <row r="9" spans="1:15" x14ac:dyDescent="0.25">
      <c r="B9" s="1" t="s">
        <v>88</v>
      </c>
      <c r="M9" s="7">
        <f>'Alt-GPL Calc for VOCs'!$I$16</f>
        <v>0.5</v>
      </c>
      <c r="N9" s="27"/>
      <c r="O9" s="30"/>
    </row>
    <row r="10" spans="1:15" ht="15.6" x14ac:dyDescent="0.25">
      <c r="B10" s="1" t="s">
        <v>133</v>
      </c>
      <c r="M10" s="7">
        <f>'Alt-GPL Calc for VOCs'!I17</f>
        <v>1.5</v>
      </c>
      <c r="N10" s="27"/>
      <c r="O10" s="30"/>
    </row>
    <row r="11" spans="1:15" x14ac:dyDescent="0.25">
      <c r="B11" s="1" t="s">
        <v>1</v>
      </c>
      <c r="M11" s="7">
        <f>'Alt-GPL Calc for VOCs'!$I$19</f>
        <v>1E-3</v>
      </c>
      <c r="N11" s="27"/>
      <c r="O11" s="30"/>
    </row>
    <row r="12" spans="1:15" ht="15.6" x14ac:dyDescent="0.25">
      <c r="B12" s="1" t="s">
        <v>2</v>
      </c>
      <c r="M12" s="7">
        <f>'Alt-GPL Calc for VOCs'!$I$21</f>
        <v>7000</v>
      </c>
      <c r="N12" s="27"/>
      <c r="O12" s="30"/>
    </row>
    <row r="13" spans="1:15" ht="15.6" x14ac:dyDescent="0.25">
      <c r="B13" s="1" t="s">
        <v>3</v>
      </c>
      <c r="M13" s="7">
        <f>'Alt-GPL Calc for VOCs'!$I$22</f>
        <v>0.7</v>
      </c>
      <c r="N13" s="27"/>
      <c r="O13" s="30"/>
    </row>
    <row r="14" spans="1:15" x14ac:dyDescent="0.25">
      <c r="B14" s="1" t="s">
        <v>61</v>
      </c>
      <c r="M14" s="7">
        <f>'Alt-GPL Calc for VOCs'!I25</f>
        <v>1000</v>
      </c>
      <c r="N14" s="27"/>
      <c r="O14" s="30"/>
    </row>
    <row r="15" spans="1:15" x14ac:dyDescent="0.25">
      <c r="B15" s="1" t="s">
        <v>87</v>
      </c>
      <c r="M15" s="7">
        <f>'Alt-GPL Calc for VOCs'!I18</f>
        <v>0.45</v>
      </c>
      <c r="N15" s="27"/>
      <c r="O15" s="30"/>
    </row>
    <row r="16" spans="1:15" x14ac:dyDescent="0.25">
      <c r="B16" s="1" t="s">
        <v>93</v>
      </c>
      <c r="M16" s="7">
        <f>'Alt-GPL Calc for VOCs'!I24</f>
        <v>7.0000000000000001E-3</v>
      </c>
      <c r="N16" s="27"/>
      <c r="O16" s="30"/>
    </row>
    <row r="17" spans="2:19" x14ac:dyDescent="0.25">
      <c r="B17" s="1" t="s">
        <v>85</v>
      </c>
      <c r="M17" s="7">
        <f>'Alt-GPL Calc for VOCs'!I9</f>
        <v>1</v>
      </c>
      <c r="N17" s="27"/>
      <c r="O17" s="30"/>
    </row>
    <row r="18" spans="2:19" x14ac:dyDescent="0.25">
      <c r="B18" s="1" t="s">
        <v>89</v>
      </c>
      <c r="M18" s="7">
        <f>'Alt-GPL Calc for VOCs'!I26</f>
        <v>1000</v>
      </c>
      <c r="N18" s="27"/>
      <c r="O18" s="30"/>
    </row>
    <row r="19" spans="2:19" x14ac:dyDescent="0.25">
      <c r="B19" s="1" t="s">
        <v>5</v>
      </c>
      <c r="M19" s="7">
        <f>$M$9-$M$15</f>
        <v>4.9999999999999989E-2</v>
      </c>
      <c r="N19" s="27"/>
      <c r="O19" s="30"/>
    </row>
    <row r="20" spans="2:19" x14ac:dyDescent="0.25">
      <c r="B20" s="1" t="s">
        <v>69</v>
      </c>
      <c r="M20" s="7">
        <f>'Alt-GPL Calc for VOCs'!I32</f>
        <v>10</v>
      </c>
      <c r="N20" s="27"/>
      <c r="O20" s="30"/>
    </row>
    <row r="21" spans="2:19" x14ac:dyDescent="0.25">
      <c r="B21" s="1" t="s">
        <v>24</v>
      </c>
      <c r="M21" s="7">
        <f>'Alt-GPL Calc for VOCs'!I23</f>
        <v>0.5</v>
      </c>
      <c r="N21" s="27"/>
      <c r="O21" s="30"/>
    </row>
    <row r="22" spans="2:19" x14ac:dyDescent="0.25">
      <c r="M22" s="7"/>
    </row>
    <row r="23" spans="2:19" x14ac:dyDescent="0.25">
      <c r="M23" s="7"/>
    </row>
    <row r="24" spans="2:19" x14ac:dyDescent="0.25">
      <c r="B24" s="1" t="s">
        <v>145</v>
      </c>
      <c r="M24" s="7">
        <f>$M$10*$M$17*$M$11+$M$15+$M$19*$M$7</f>
        <v>0.50150000000000006</v>
      </c>
      <c r="N24" s="28" t="s">
        <v>332</v>
      </c>
    </row>
    <row r="25" spans="2:19" x14ac:dyDescent="0.25">
      <c r="B25" s="1" t="s">
        <v>148</v>
      </c>
      <c r="M25" s="7">
        <f>$M$5/$M$24</f>
        <v>299.10269192422726</v>
      </c>
      <c r="N25" s="28" t="s">
        <v>333</v>
      </c>
    </row>
    <row r="26" spans="2:19" x14ac:dyDescent="0.25">
      <c r="B26" s="1" t="s">
        <v>146</v>
      </c>
      <c r="M26" s="7">
        <f>$M$24/$M$7</f>
        <v>0.50150000000000006</v>
      </c>
      <c r="N26" s="28" t="s">
        <v>334</v>
      </c>
    </row>
    <row r="27" spans="2:19" x14ac:dyDescent="0.25">
      <c r="B27" s="1" t="s">
        <v>141</v>
      </c>
      <c r="M27" s="7">
        <f>($M$5/$M$26)</f>
        <v>299.10269192422726</v>
      </c>
      <c r="N27" s="28" t="s">
        <v>335</v>
      </c>
    </row>
    <row r="28" spans="2:19" x14ac:dyDescent="0.25">
      <c r="B28" s="1" t="s">
        <v>150</v>
      </c>
      <c r="M28" s="7">
        <f>$M25*$M17*$M11</f>
        <v>0.29910269192422728</v>
      </c>
      <c r="N28" s="28" t="s">
        <v>336</v>
      </c>
    </row>
    <row r="29" spans="2:19" x14ac:dyDescent="0.25">
      <c r="M29" s="7"/>
      <c r="N29" s="7"/>
    </row>
    <row r="30" spans="2:19" x14ac:dyDescent="0.25">
      <c r="B30" s="1" t="s">
        <v>181</v>
      </c>
      <c r="M30" s="7">
        <f>$M$8/$M$10*($M$11*$M$17*$M$10+$M$15+$M$19*$M$7)</f>
        <v>0.33433333333333337</v>
      </c>
      <c r="N30" s="28" t="s">
        <v>337</v>
      </c>
    </row>
    <row r="31" spans="2:19" ht="22.8" x14ac:dyDescent="0.4">
      <c r="C31" s="3" t="s">
        <v>6</v>
      </c>
      <c r="D31" s="3"/>
      <c r="E31" s="3"/>
      <c r="F31" s="3"/>
      <c r="G31" s="3"/>
      <c r="I31" s="4"/>
      <c r="J31" s="4"/>
      <c r="K31" s="4"/>
      <c r="L31" s="4"/>
      <c r="O31" s="4" t="s">
        <v>10</v>
      </c>
      <c r="S31" s="4"/>
    </row>
    <row r="32" spans="2:19" x14ac:dyDescent="0.25">
      <c r="H32" s="1" t="s">
        <v>4</v>
      </c>
    </row>
    <row r="33" spans="2:19" ht="15.6" x14ac:dyDescent="0.25">
      <c r="Q33" s="1" t="s">
        <v>11</v>
      </c>
    </row>
    <row r="34" spans="2:19" x14ac:dyDescent="0.25">
      <c r="B34" s="1" t="s">
        <v>7</v>
      </c>
      <c r="I34" s="1">
        <f>$M$10*$M$11*$M$17</f>
        <v>1.5E-3</v>
      </c>
    </row>
    <row r="35" spans="2:19" ht="15.6" x14ac:dyDescent="0.25">
      <c r="B35" s="1" t="s">
        <v>8</v>
      </c>
      <c r="I35" s="1">
        <f>$I$34+$M$15+$M$19*$M$7</f>
        <v>0.50150000000000006</v>
      </c>
      <c r="O35" s="1" t="s">
        <v>329</v>
      </c>
      <c r="S35" s="1">
        <f>((POWER($M$19,3.33)*$M$12*$M$7+POWER($M$15,3.33)*$M$13))/POWER($M$9,2)</f>
        <v>1.49839626292817</v>
      </c>
    </row>
    <row r="36" spans="2:19" x14ac:dyDescent="0.25">
      <c r="B36" s="1" t="s">
        <v>9</v>
      </c>
      <c r="I36" s="1">
        <f>$M$16/$I$35</f>
        <v>1.3958125623130606E-2</v>
      </c>
      <c r="Q36" s="1" t="s">
        <v>12</v>
      </c>
      <c r="S36" s="1">
        <f>$S$35/$I$35</f>
        <v>2.9878290387401192</v>
      </c>
    </row>
    <row r="37" spans="2:19" x14ac:dyDescent="0.25">
      <c r="B37" s="1" t="s">
        <v>245</v>
      </c>
      <c r="I37" s="1">
        <f>I34/M9 +1</f>
        <v>1.0029999999999999</v>
      </c>
    </row>
    <row r="39" spans="2:19" ht="22.8" x14ac:dyDescent="0.4">
      <c r="C39" s="4" t="s">
        <v>13</v>
      </c>
      <c r="D39" s="4"/>
      <c r="E39" s="4"/>
      <c r="F39" s="4"/>
      <c r="G39" s="4"/>
      <c r="O39" s="4" t="s">
        <v>18</v>
      </c>
    </row>
    <row r="40" spans="2:19" ht="15.6" x14ac:dyDescent="0.25">
      <c r="B40" s="1" t="s">
        <v>52</v>
      </c>
      <c r="N40" s="1" t="s">
        <v>23</v>
      </c>
    </row>
    <row r="42" spans="2:19" x14ac:dyDescent="0.25">
      <c r="C42" s="1">
        <f>$M$12*$M$7/($M$21*$I$35)</f>
        <v>27916.251246261214</v>
      </c>
      <c r="N42" s="1" t="s">
        <v>26</v>
      </c>
      <c r="Q42" s="1">
        <f>1+($I$36/$C$42)</f>
        <v>1.0000005000000001</v>
      </c>
    </row>
    <row r="43" spans="2:19" x14ac:dyDescent="0.25">
      <c r="N43" s="1" t="s">
        <v>28</v>
      </c>
      <c r="Q43" s="1">
        <f>IF(($I$36*$M$18)/$S$36&gt;225,225,($I$36*$M$18/$S$36))</f>
        <v>4.6716614110613044</v>
      </c>
    </row>
    <row r="44" spans="2:19" x14ac:dyDescent="0.25">
      <c r="N44" s="1" t="s">
        <v>27</v>
      </c>
      <c r="Q44" s="1">
        <f>Q42*EXP(Q43)</f>
        <v>106.87521201929007</v>
      </c>
    </row>
    <row r="45" spans="2:19" x14ac:dyDescent="0.25">
      <c r="N45" s="1" t="s">
        <v>27</v>
      </c>
    </row>
    <row r="47" spans="2:19" ht="22.8" x14ac:dyDescent="0.4">
      <c r="C47" s="4" t="s">
        <v>22</v>
      </c>
      <c r="D47" s="4"/>
      <c r="E47" s="4"/>
      <c r="F47" s="4"/>
      <c r="G47" s="4"/>
      <c r="H47" s="4"/>
      <c r="P47" s="4" t="s">
        <v>25</v>
      </c>
    </row>
    <row r="48" spans="2:19" ht="15.6" x14ac:dyDescent="0.25">
      <c r="H48" s="1" t="s">
        <v>30</v>
      </c>
      <c r="P48" s="1" t="s">
        <v>19</v>
      </c>
    </row>
    <row r="50" spans="2:18" x14ac:dyDescent="0.25">
      <c r="B50" s="1" t="s">
        <v>14</v>
      </c>
      <c r="I50" s="1">
        <f>($M$18-$M$14-($I$36*$M$20))</f>
        <v>-0.13958125623130607</v>
      </c>
      <c r="N50" s="1" t="s">
        <v>20</v>
      </c>
      <c r="Q50" s="1">
        <f>($M$18-$M$20*$I$36)</f>
        <v>999.86041874376872</v>
      </c>
    </row>
    <row r="51" spans="2:18" x14ac:dyDescent="0.25">
      <c r="B51" s="1" t="s">
        <v>15</v>
      </c>
      <c r="I51" s="1">
        <f>POWER(4*$S$36*$M$20,0.5)</f>
        <v>10.932207533229727</v>
      </c>
      <c r="N51" s="1" t="s">
        <v>21</v>
      </c>
      <c r="Q51" s="1">
        <f>($M$18-($M$20*$I$36))/POWER(4*$S$36*$M$20,0.5)</f>
        <v>91.460065655045028</v>
      </c>
    </row>
    <row r="52" spans="2:18" x14ac:dyDescent="0.25">
      <c r="B52" s="1" t="s">
        <v>17</v>
      </c>
      <c r="I52" s="1">
        <f>($M$18-$M$14-($I$36*$M$20))/POWER(4*$S$36*$M$20,0.5)</f>
        <v>-1.276789301767575E-2</v>
      </c>
      <c r="N52" s="1" t="s">
        <v>51</v>
      </c>
      <c r="Q52" s="1">
        <f>IF($Q$51&gt;0,ERFC(IF($Q$51&lt;27,$Q$51,27)),1+ERF(IF(-$Q$51&lt;27,-$Q$51,27)))</f>
        <v>0</v>
      </c>
    </row>
    <row r="53" spans="2:18" x14ac:dyDescent="0.25">
      <c r="B53" s="1" t="s">
        <v>16</v>
      </c>
      <c r="I53" s="1">
        <f>IF($I$52&gt;0,ERFC(IF($I$52&lt;27,$I$52,27)),1+ERF(IF(-$I$52&lt;27,-$I$4,27)))</f>
        <v>1</v>
      </c>
      <c r="R53" s="1">
        <f>IF(($M$18-$M$20*$I$36)/POWER(4*$S$36*$M$20,0.5)&gt;27,ERFC(27),6)</f>
        <v>0</v>
      </c>
    </row>
    <row r="56" spans="2:18" ht="22.8" x14ac:dyDescent="0.4">
      <c r="C56" s="4" t="s">
        <v>29</v>
      </c>
      <c r="D56" s="4"/>
      <c r="E56" s="4"/>
      <c r="F56" s="4"/>
      <c r="G56" s="4"/>
      <c r="I56" s="4"/>
      <c r="J56" s="4"/>
      <c r="K56" s="4"/>
      <c r="L56" s="4"/>
      <c r="P56" s="4" t="s">
        <v>35</v>
      </c>
      <c r="Q56" s="4"/>
    </row>
    <row r="58" spans="2:18" ht="15.6" x14ac:dyDescent="0.25">
      <c r="H58" s="1" t="s">
        <v>23</v>
      </c>
      <c r="P58" s="1" t="s">
        <v>31</v>
      </c>
    </row>
    <row r="59" spans="2:18" x14ac:dyDescent="0.25">
      <c r="H59" s="1" t="s">
        <v>79</v>
      </c>
    </row>
    <row r="60" spans="2:18" x14ac:dyDescent="0.25">
      <c r="B60" s="1" t="s">
        <v>26</v>
      </c>
      <c r="I60" s="1">
        <f>1+($I$36/$C$42)</f>
        <v>1.0000005000000001</v>
      </c>
      <c r="N60" s="1" t="s">
        <v>32</v>
      </c>
      <c r="Q60" s="1">
        <f>$M$18+$M$14+($I$36*$M$20)</f>
        <v>2000.1395812562314</v>
      </c>
    </row>
    <row r="61" spans="2:18" x14ac:dyDescent="0.25">
      <c r="B61" s="1" t="s">
        <v>28</v>
      </c>
      <c r="I61" s="1">
        <f>($I$36*$M$18)/$S$36</f>
        <v>4.6716614110613044</v>
      </c>
      <c r="N61" s="1" t="s">
        <v>33</v>
      </c>
      <c r="Q61" s="1">
        <f>($M$18+$M$14+$I$36*$M$20)/POWER(4*$S$36*$M$20,0.5)</f>
        <v>182.95843498914309</v>
      </c>
    </row>
    <row r="62" spans="2:18" x14ac:dyDescent="0.25">
      <c r="I62" s="1">
        <f>IF($I$61&gt;225,225,$I$61)</f>
        <v>4.6716614110613044</v>
      </c>
      <c r="N62" s="1" t="s">
        <v>34</v>
      </c>
      <c r="Q62" s="1">
        <f>IF($Q$61&gt;27,ERFC(27),ERFC($Q$61))</f>
        <v>0</v>
      </c>
    </row>
    <row r="63" spans="2:18" ht="16.5" customHeight="1" x14ac:dyDescent="0.4">
      <c r="B63" s="1" t="s">
        <v>27</v>
      </c>
      <c r="I63" s="1">
        <f>(1+($I$36/$C$42))*EXP($I$62)</f>
        <v>106.87521201929007</v>
      </c>
      <c r="M63" s="4"/>
    </row>
    <row r="64" spans="2:18" ht="22.8" x14ac:dyDescent="0.4">
      <c r="C64" s="4" t="s">
        <v>39</v>
      </c>
      <c r="D64" s="4"/>
      <c r="E64" s="4"/>
      <c r="F64" s="4"/>
      <c r="G64" s="4"/>
      <c r="I64" s="4"/>
      <c r="J64" s="4"/>
      <c r="K64" s="4"/>
      <c r="L64" s="4"/>
      <c r="P64" s="4" t="s">
        <v>47</v>
      </c>
    </row>
    <row r="66" spans="2:17" ht="15.6" x14ac:dyDescent="0.25">
      <c r="H66" s="1" t="s">
        <v>36</v>
      </c>
      <c r="P66" s="1" t="s">
        <v>40</v>
      </c>
    </row>
    <row r="68" spans="2:17" x14ac:dyDescent="0.25">
      <c r="B68" s="1" t="s">
        <v>37</v>
      </c>
      <c r="I68" s="1">
        <f>$M$18+($I$36*$M$20)</f>
        <v>1000.1395812562313</v>
      </c>
      <c r="N68" s="1" t="s">
        <v>41</v>
      </c>
      <c r="Q68" s="1">
        <f>2+$I$36/$C$42</f>
        <v>2.0000005000000001</v>
      </c>
    </row>
    <row r="69" spans="2:17" ht="15.6" x14ac:dyDescent="0.25">
      <c r="B69" s="1" t="s">
        <v>70</v>
      </c>
      <c r="I69" s="1">
        <f>($M$18+($I$36*$M$20))/(POWER(4*$S$36*$M$20,0.5))</f>
        <v>91.485601441080377</v>
      </c>
    </row>
    <row r="70" spans="2:17" x14ac:dyDescent="0.25">
      <c r="B70" s="1" t="s">
        <v>38</v>
      </c>
      <c r="I70" s="1">
        <f>IF($I$69&gt;27,ERFC(27),ERFC($I$69))</f>
        <v>0</v>
      </c>
      <c r="N70" s="1" t="s">
        <v>42</v>
      </c>
      <c r="Q70" s="1">
        <f>$I$36+$C$42</f>
        <v>27916.265204386837</v>
      </c>
    </row>
    <row r="71" spans="2:17" x14ac:dyDescent="0.25">
      <c r="N71" s="1" t="s">
        <v>43</v>
      </c>
      <c r="Q71" s="1">
        <f>$C$42*($C$42+$I$36)*$M$20</f>
        <v>7793174733.0292263</v>
      </c>
    </row>
    <row r="72" spans="2:17" x14ac:dyDescent="0.25">
      <c r="N72" s="1" t="s">
        <v>44</v>
      </c>
      <c r="Q72" s="1">
        <f>($C$42+$I$36)*$M$18</f>
        <v>27916265.204386838</v>
      </c>
    </row>
    <row r="73" spans="2:17" x14ac:dyDescent="0.25">
      <c r="N73" s="1" t="s">
        <v>45</v>
      </c>
      <c r="Q73" s="1">
        <f>$C$42*($C$42+$I$36)*$M$20+($C$42+$I$36)*$M$18</f>
        <v>7821090998.233613</v>
      </c>
    </row>
    <row r="74" spans="2:17" x14ac:dyDescent="0.25">
      <c r="N74" s="1" t="s">
        <v>86</v>
      </c>
      <c r="Q74" s="1">
        <f>($C$42*($C$42+$I$36)*$M$20+($C$42+$I$36)*$M$18)/$S$36</f>
        <v>2617650105.4195323</v>
      </c>
    </row>
    <row r="75" spans="2:17" x14ac:dyDescent="0.25">
      <c r="N75" s="1" t="s">
        <v>64</v>
      </c>
      <c r="Q75" s="1">
        <f>IF(($C$42*($C$42+$I$36)*$M$20+($C$42+$I$36)*$M$18)/$S$36&gt;225,225,($C$42*($C$42+$I$36)*$M$20+($C$42+$I$36)*$M$18)/$S$36)</f>
        <v>225</v>
      </c>
    </row>
    <row r="76" spans="2:17" x14ac:dyDescent="0.25">
      <c r="N76" s="1" t="s">
        <v>46</v>
      </c>
      <c r="Q76" s="1">
        <f>EXP(IF(($C$42*($C$42+$I$36)*$M$20+($C$42+$I$36)*$M$18)/$S$36&gt;225,225,($C$42*($C$42+$I$36)*$M$20+($C$42+$I$36)*$M$18)/$S$36))</f>
        <v>5.2030551378848545E+97</v>
      </c>
    </row>
    <row r="78" spans="2:17" ht="22.8" x14ac:dyDescent="0.4">
      <c r="C78" s="4" t="s">
        <v>53</v>
      </c>
      <c r="D78" s="4"/>
      <c r="E78" s="4"/>
      <c r="F78" s="4"/>
      <c r="G78" s="4"/>
      <c r="P78" s="4" t="s">
        <v>66</v>
      </c>
      <c r="Q78" s="4"/>
    </row>
    <row r="80" spans="2:17" ht="15.6" x14ac:dyDescent="0.25">
      <c r="H80" s="1" t="s">
        <v>48</v>
      </c>
      <c r="P80" s="1" t="s">
        <v>54</v>
      </c>
    </row>
    <row r="81" spans="2:17" x14ac:dyDescent="0.25">
      <c r="P81" s="1" t="s">
        <v>81</v>
      </c>
    </row>
    <row r="82" spans="2:17" ht="15.6" x14ac:dyDescent="0.25">
      <c r="B82" s="1" t="s">
        <v>49</v>
      </c>
      <c r="I82" s="1">
        <f>$M$18+(2*$C$42+$I$36)*$M20/POWER(4*$S$36*$M$20,0.5)</f>
        <v>52071.584838596027</v>
      </c>
      <c r="N82" s="1" t="s">
        <v>62</v>
      </c>
      <c r="Q82" s="1">
        <f>$C$42*$M$14/$S$36</f>
        <v>9343322.8221226092</v>
      </c>
    </row>
    <row r="83" spans="2:17" x14ac:dyDescent="0.25">
      <c r="B83" s="1" t="s">
        <v>50</v>
      </c>
      <c r="I83" s="1">
        <f>IF($M$18+(2*$C$42+$I$36)*$M20/POWER(4*$S$36*$M$20,0.5)&gt;27,ERFC(27),ERFC(($M$18+(2*$C$42+$I$36)*$M20/POWER(4*$S$36*$M$20,0.5))))</f>
        <v>0</v>
      </c>
      <c r="N83" s="1" t="s">
        <v>63</v>
      </c>
      <c r="Q83" s="1">
        <f>IF($C$42*$M$14/$S$36&gt;225,225,$C$42*$M$14/$S$36)</f>
        <v>225</v>
      </c>
    </row>
    <row r="84" spans="2:17" x14ac:dyDescent="0.25">
      <c r="N84" s="1" t="s">
        <v>54</v>
      </c>
      <c r="Q84" s="1">
        <f>EXP(Q83)</f>
        <v>5.2030551378848545E+97</v>
      </c>
    </row>
    <row r="87" spans="2:17" ht="22.8" x14ac:dyDescent="0.4">
      <c r="C87" s="4" t="s">
        <v>67</v>
      </c>
      <c r="D87" s="4"/>
      <c r="E87" s="4"/>
      <c r="F87" s="4"/>
      <c r="G87" s="4"/>
      <c r="I87" s="4"/>
      <c r="J87" s="4"/>
      <c r="K87" s="4"/>
      <c r="L87" s="4"/>
      <c r="P87" s="4" t="s">
        <v>68</v>
      </c>
      <c r="Q87" s="4"/>
    </row>
    <row r="88" spans="2:17" ht="22.8" x14ac:dyDescent="0.4">
      <c r="Q88" s="4"/>
    </row>
    <row r="89" spans="2:17" ht="15.6" x14ac:dyDescent="0.25">
      <c r="H89" s="1" t="s">
        <v>55</v>
      </c>
      <c r="N89" s="1" t="s">
        <v>59</v>
      </c>
      <c r="Q89" s="1">
        <f>0.693/$M$6</f>
        <v>6.9299999999999997E-6</v>
      </c>
    </row>
    <row r="90" spans="2:17" x14ac:dyDescent="0.25">
      <c r="N90" s="1" t="s">
        <v>58</v>
      </c>
      <c r="Q90" s="1">
        <f>EXP(-0.693/$M$6*$M$20)</f>
        <v>0.99993070240118953</v>
      </c>
    </row>
    <row r="91" spans="2:17" x14ac:dyDescent="0.25">
      <c r="B91" s="1" t="s">
        <v>56</v>
      </c>
      <c r="I91" s="1">
        <f>$M$18+$M$14+(2*$C$42+$I$36)*$M$20</f>
        <v>560325.16450648056</v>
      </c>
    </row>
    <row r="92" spans="2:17" ht="15.6" x14ac:dyDescent="0.25">
      <c r="B92" s="1" t="s">
        <v>57</v>
      </c>
      <c r="I92" s="1">
        <f>POWER(4*$S$36*$M$20,0.5)</f>
        <v>10.932207533229727</v>
      </c>
    </row>
    <row r="93" spans="2:17" x14ac:dyDescent="0.25">
      <c r="B93" s="1" t="s">
        <v>71</v>
      </c>
      <c r="I93" s="1">
        <f>($M$18+$M$14+(2*$C$42+$I$36)*$M$20)/POWER(4*$S$36*$M$20,0.5)</f>
        <v>51254.53050569215</v>
      </c>
    </row>
    <row r="94" spans="2:17" x14ac:dyDescent="0.25">
      <c r="B94" s="1" t="s">
        <v>55</v>
      </c>
      <c r="I94" s="1">
        <f>IF(($M$18+$M$14+(2*$C$42+$I$36)*$M$20)/POWER(4*$S$36*$M$20,0.5)&gt;27,ERFC(27),ERFC(($M$18+$M$14+(2*$C$42+$I$36)*$M$20)/POWER(4*$S$36*$M$20,0.5)))</f>
        <v>0</v>
      </c>
    </row>
    <row r="100" spans="2:19" x14ac:dyDescent="0.25">
      <c r="C100" s="1" t="s">
        <v>60</v>
      </c>
    </row>
    <row r="106" spans="2:19" x14ac:dyDescent="0.25">
      <c r="S106" s="1">
        <f>POWER(4*$S$36*B129,0.5)</f>
        <v>39.416634815073472</v>
      </c>
    </row>
    <row r="108" spans="2:19" ht="20.399999999999999" x14ac:dyDescent="0.35">
      <c r="M108" s="5"/>
    </row>
    <row r="109" spans="2:19" x14ac:dyDescent="0.25">
      <c r="B109" s="6"/>
    </row>
    <row r="114" spans="2:55" x14ac:dyDescent="0.25">
      <c r="D114" s="1" t="s">
        <v>58</v>
      </c>
      <c r="F114" s="1" t="s">
        <v>92</v>
      </c>
      <c r="I114" s="1" t="s">
        <v>72</v>
      </c>
      <c r="L114" s="1" t="s">
        <v>19</v>
      </c>
      <c r="N114" s="1" t="s">
        <v>51</v>
      </c>
      <c r="P114" s="1" t="s">
        <v>73</v>
      </c>
      <c r="R114" s="1" t="s">
        <v>90</v>
      </c>
      <c r="U114" s="1" t="s">
        <v>40</v>
      </c>
      <c r="Y114" s="1" t="s">
        <v>74</v>
      </c>
      <c r="AB114" s="1" t="s">
        <v>55</v>
      </c>
      <c r="AF114" s="1" t="s">
        <v>106</v>
      </c>
      <c r="AH114" s="1" t="s">
        <v>113</v>
      </c>
      <c r="AJ114" s="1" t="s">
        <v>111</v>
      </c>
      <c r="AL114" s="1" t="s">
        <v>114</v>
      </c>
      <c r="AN114" s="1" t="s">
        <v>151</v>
      </c>
    </row>
    <row r="115" spans="2:55" x14ac:dyDescent="0.25">
      <c r="D115" s="1" t="s">
        <v>84</v>
      </c>
      <c r="I115" s="1" t="s">
        <v>80</v>
      </c>
      <c r="N115" s="1" t="s">
        <v>82</v>
      </c>
      <c r="P115" s="1" t="s">
        <v>83</v>
      </c>
      <c r="R115" s="1" t="s">
        <v>91</v>
      </c>
      <c r="U115" s="1" t="s">
        <v>77</v>
      </c>
      <c r="Y115" s="1" t="s">
        <v>76</v>
      </c>
      <c r="AB115" s="1" t="s">
        <v>78</v>
      </c>
      <c r="AJ115" s="1" t="s">
        <v>138</v>
      </c>
      <c r="AL115" s="1" t="s">
        <v>139</v>
      </c>
    </row>
    <row r="116" spans="2:55" x14ac:dyDescent="0.25">
      <c r="B116" s="19">
        <f>'Alt-GPL Calc for VOCs'!$I$32</f>
        <v>10</v>
      </c>
    </row>
    <row r="117" spans="2:55" x14ac:dyDescent="0.25">
      <c r="B117" s="1">
        <f>B116</f>
        <v>10</v>
      </c>
      <c r="D117" s="1">
        <f>EXP(-0.693/$M$6*B117)</f>
        <v>0.99993070240118953</v>
      </c>
      <c r="F117" s="1">
        <f t="shared" ref="F117:F148" si="0">($M$18-$M$14-($I$36*B117))/POWER(4*$S$36*B117,0.5)</f>
        <v>-1.276789301767575E-2</v>
      </c>
      <c r="I117" s="1">
        <f t="shared" ref="I117:I180" si="1">IF(F117&gt;0,ERFC(IF(F117&lt;27,F117,27)),1+ERF(IF(-F117&lt;27,-F117,27)))</f>
        <v>1.0144062416537845</v>
      </c>
      <c r="L117" s="1">
        <f t="shared" ref="L117:L148" si="2">($M$18-(B117*$I$36))/POWER(4*$S$36*B117,0.5)</f>
        <v>91.460065655045028</v>
      </c>
      <c r="N117" s="1">
        <f t="shared" ref="N117:N180" si="3">IF(L117&gt;0,ERFC(IF(L117&lt;27,L117,27)),1+ERF(IF(-L117&lt;27,-L117,27)))</f>
        <v>0</v>
      </c>
      <c r="P117" s="1">
        <f t="shared" ref="P117:P180" si="4">IF(($M$18+$M$14+$I$36*B117)/POWER(4*$S$36*B117,0.5)&gt;27,ERFC(27),ERFC(($M$18+$M$14+$I$36*B117)/POWER(4*$S$36*B117,0.5)))</f>
        <v>0</v>
      </c>
      <c r="R117" s="1">
        <f t="shared" ref="R117:R180" si="5">IF(($M$18+$I$36*B117)/(POWER(4*$S$36*B117,0.5))&gt;27,ERFC(27),ERFC(($M$18+$I$36*B117)/(POWER(4*$S$36*B117,0.5))))</f>
        <v>0</v>
      </c>
      <c r="U117" s="1">
        <f t="shared" ref="U117:U148" si="6">(2+$I$36/$C$42)*EXP(IF(($C$42*($C$42+$I$36)*B117+($C$42+$I$36)*$M$18)/$S$36&gt;225,225,($C$42*($C$42+$I$36)*B117+($C$42+$I$36)*$M$18)/$S$36))</f>
        <v>1.0406112877297279E+98</v>
      </c>
      <c r="Y117" s="1">
        <f t="shared" ref="Y117:Y180" si="7">IF(($M$18+((2*$C$42+$I$36)*B117))/POWER(4*$S$36*B117,0.5)&gt;27,ERFC(27),ERFC(($M$18+((2*$C$42+$I$36)*B117))/POWER(4*$S$36*B117,0.5)))</f>
        <v>0</v>
      </c>
      <c r="AB117" s="1">
        <f t="shared" ref="AB117:AB180" si="8">IF(($M$18+$M$14+((2*$C$42+$I$36)*B117))/POWER(4*$S$36*B117,0.5)&gt;27,ERFC(27),ERFC(($M$18+$M$14+((2*$C$42+$I$36)*B117))/POWER(4*$S$36*B117,0.5)))</f>
        <v>0</v>
      </c>
      <c r="AF117" s="1">
        <f>0.5*D117*((I117-N117)+($Q$44)*(P117-R117)+U117*(Y117-($Q$84*AB117)))</f>
        <v>0.50716797286850979</v>
      </c>
      <c r="AH117" s="1">
        <f>$M$4*AF117</f>
        <v>50.716797286850976</v>
      </c>
      <c r="AJ117" s="1">
        <f>AF117*$M$25</f>
        <v>151.69530594272473</v>
      </c>
      <c r="AL117" s="1">
        <f>AF117*$M$27</f>
        <v>151.69530594272473</v>
      </c>
      <c r="AN117" s="1">
        <f>AF117*$M$28</f>
        <v>0.15169530594272473</v>
      </c>
      <c r="AQ117" s="9"/>
      <c r="AZ117" s="9"/>
    </row>
    <row r="118" spans="2:55" x14ac:dyDescent="0.25">
      <c r="B118" s="1">
        <f t="shared" ref="B118:B181" si="9">B117+$M$20</f>
        <v>20</v>
      </c>
      <c r="D118" s="1">
        <f t="shared" ref="D118:D181" si="10">EXP(-0.693/$M$6*B118)</f>
        <v>0.99986140960453629</v>
      </c>
      <c r="F118" s="1">
        <f t="shared" si="0"/>
        <v>-1.805652746852579E-2</v>
      </c>
      <c r="I118" s="1">
        <f t="shared" si="1"/>
        <v>1.020372395341919</v>
      </c>
      <c r="L118" s="1">
        <f t="shared" si="2"/>
        <v>64.663004368714937</v>
      </c>
      <c r="N118" s="1">
        <f t="shared" si="3"/>
        <v>0</v>
      </c>
      <c r="P118" s="1">
        <f t="shared" si="4"/>
        <v>0</v>
      </c>
      <c r="R118" s="1">
        <f t="shared" si="5"/>
        <v>0</v>
      </c>
      <c r="U118" s="1">
        <f t="shared" si="6"/>
        <v>1.0406112877297279E+98</v>
      </c>
      <c r="Y118" s="1">
        <f t="shared" si="7"/>
        <v>0</v>
      </c>
      <c r="AB118" s="1">
        <f t="shared" si="8"/>
        <v>0</v>
      </c>
      <c r="AF118" s="1">
        <f t="shared" ref="AF118:AF181" si="11">0.5*D118*((I118-N118)+($Q$44)*(P118-R118)+U118*(Y118-($Q$84*AB118)))</f>
        <v>0.51011549076406415</v>
      </c>
      <c r="AH118" s="1">
        <f t="shared" ref="AH118:AH181" si="12">$M$4*AF118</f>
        <v>51.011549076406418</v>
      </c>
      <c r="AJ118" s="1">
        <f t="shared" ref="AJ118:AJ181" si="13">AF118*$M$25</f>
        <v>152.57691647977987</v>
      </c>
      <c r="AL118" s="1">
        <f t="shared" ref="AL118:AL181" si="14">AF118*$M$27</f>
        <v>152.57691647977987</v>
      </c>
      <c r="AN118" s="1">
        <f t="shared" ref="AN118:AN181" si="15">AF118*$M$28</f>
        <v>0.15257691647977989</v>
      </c>
    </row>
    <row r="119" spans="2:55" ht="12" customHeight="1" x14ac:dyDescent="0.25">
      <c r="B119" s="1">
        <f t="shared" si="9"/>
        <v>30</v>
      </c>
      <c r="D119" s="1">
        <f t="shared" si="10"/>
        <v>0.99979212160970743</v>
      </c>
      <c r="F119" s="1">
        <f t="shared" si="0"/>
        <v>-2.211463941221831E-2</v>
      </c>
      <c r="I119" s="1">
        <f t="shared" si="1"/>
        <v>1.0249496310680841</v>
      </c>
      <c r="L119" s="1">
        <f t="shared" si="2"/>
        <v>52.789750433099613</v>
      </c>
      <c r="N119" s="1">
        <f t="shared" si="3"/>
        <v>0</v>
      </c>
      <c r="P119" s="1">
        <f t="shared" si="4"/>
        <v>0</v>
      </c>
      <c r="R119" s="1">
        <f t="shared" si="5"/>
        <v>0</v>
      </c>
      <c r="U119" s="1">
        <f t="shared" si="6"/>
        <v>1.0406112877297279E+98</v>
      </c>
      <c r="Y119" s="1">
        <f t="shared" si="7"/>
        <v>0</v>
      </c>
      <c r="AB119" s="1">
        <f t="shared" si="8"/>
        <v>0</v>
      </c>
      <c r="AF119" s="1">
        <f t="shared" si="11"/>
        <v>0.51236828309432336</v>
      </c>
      <c r="AH119" s="1">
        <f t="shared" si="12"/>
        <v>51.236828309432333</v>
      </c>
      <c r="AJ119" s="1">
        <f t="shared" si="13"/>
        <v>153.25073273010665</v>
      </c>
      <c r="AL119" s="1">
        <f t="shared" si="14"/>
        <v>153.25073273010665</v>
      </c>
      <c r="AN119" s="1">
        <f t="shared" si="15"/>
        <v>0.15325073273010667</v>
      </c>
      <c r="BC119" s="9"/>
    </row>
    <row r="120" spans="2:55" x14ac:dyDescent="0.25">
      <c r="B120" s="1">
        <f t="shared" si="9"/>
        <v>40</v>
      </c>
      <c r="D120" s="1">
        <f t="shared" si="10"/>
        <v>0.99972283841637022</v>
      </c>
      <c r="F120" s="1">
        <f t="shared" si="0"/>
        <v>-2.5535786035351501E-2</v>
      </c>
      <c r="I120" s="1">
        <f t="shared" si="1"/>
        <v>1.0288077872158867</v>
      </c>
      <c r="L120" s="1">
        <f t="shared" si="2"/>
        <v>45.710880987995999</v>
      </c>
      <c r="N120" s="1">
        <f t="shared" si="3"/>
        <v>0</v>
      </c>
      <c r="P120" s="1">
        <f t="shared" si="4"/>
        <v>0</v>
      </c>
      <c r="R120" s="1">
        <f t="shared" si="5"/>
        <v>0</v>
      </c>
      <c r="U120" s="1">
        <f t="shared" si="6"/>
        <v>1.0406112877297279E+98</v>
      </c>
      <c r="Y120" s="1">
        <f t="shared" si="7"/>
        <v>0</v>
      </c>
      <c r="AB120" s="1">
        <f t="shared" si="8"/>
        <v>0</v>
      </c>
      <c r="AF120" s="1">
        <f t="shared" si="11"/>
        <v>0.51426132061016561</v>
      </c>
      <c r="AH120" s="1">
        <f t="shared" si="12"/>
        <v>51.42613206101656</v>
      </c>
      <c r="AJ120" s="1">
        <f t="shared" si="13"/>
        <v>153.81694534700861</v>
      </c>
      <c r="AL120" s="1">
        <f t="shared" si="14"/>
        <v>153.81694534700861</v>
      </c>
      <c r="AN120" s="1">
        <f t="shared" si="15"/>
        <v>0.15381694534700863</v>
      </c>
    </row>
    <row r="121" spans="2:55" x14ac:dyDescent="0.25">
      <c r="B121" s="1">
        <f t="shared" si="9"/>
        <v>50</v>
      </c>
      <c r="D121" s="1">
        <f t="shared" si="10"/>
        <v>0.99965356002419203</v>
      </c>
      <c r="F121" s="1">
        <f t="shared" si="0"/>
        <v>-2.8549876716967904E-2</v>
      </c>
      <c r="I121" s="1">
        <f t="shared" si="1"/>
        <v>1.0322063354603144</v>
      </c>
      <c r="L121" s="1">
        <f t="shared" si="2"/>
        <v>40.879344904881336</v>
      </c>
      <c r="N121" s="1">
        <f t="shared" si="3"/>
        <v>0</v>
      </c>
      <c r="P121" s="1">
        <f t="shared" si="4"/>
        <v>0</v>
      </c>
      <c r="R121" s="1">
        <f t="shared" si="5"/>
        <v>0</v>
      </c>
      <c r="U121" s="1">
        <f t="shared" si="6"/>
        <v>1.0406112877297279E+98</v>
      </c>
      <c r="Y121" s="1">
        <f t="shared" si="7"/>
        <v>0</v>
      </c>
      <c r="AB121" s="1">
        <f t="shared" si="8"/>
        <v>0</v>
      </c>
      <c r="AF121" s="1">
        <f t="shared" si="11"/>
        <v>0.5159243689612143</v>
      </c>
      <c r="AH121" s="1">
        <f t="shared" si="12"/>
        <v>51.592436896121427</v>
      </c>
      <c r="AJ121" s="1">
        <f t="shared" si="13"/>
        <v>154.31436758560744</v>
      </c>
      <c r="AL121" s="1">
        <f t="shared" si="14"/>
        <v>154.31436758560744</v>
      </c>
      <c r="AN121" s="1">
        <f t="shared" si="15"/>
        <v>0.15431436758560746</v>
      </c>
    </row>
    <row r="122" spans="2:55" x14ac:dyDescent="0.25">
      <c r="B122" s="1">
        <f t="shared" si="9"/>
        <v>60</v>
      </c>
      <c r="D122" s="1">
        <f t="shared" si="10"/>
        <v>0.99958428643284003</v>
      </c>
      <c r="F122" s="1">
        <f t="shared" si="0"/>
        <v>-3.1274822983749707E-2</v>
      </c>
      <c r="I122" s="1">
        <f t="shared" si="1"/>
        <v>1.0352783562434311</v>
      </c>
      <c r="L122" s="1">
        <f t="shared" si="2"/>
        <v>37.312353096898349</v>
      </c>
      <c r="N122" s="1">
        <f t="shared" si="3"/>
        <v>0</v>
      </c>
      <c r="P122" s="1">
        <f t="shared" si="4"/>
        <v>0</v>
      </c>
      <c r="R122" s="1">
        <f t="shared" si="5"/>
        <v>0</v>
      </c>
      <c r="U122" s="1">
        <f t="shared" si="6"/>
        <v>1.0406112877297279E+98</v>
      </c>
      <c r="Y122" s="1">
        <f t="shared" si="7"/>
        <v>0</v>
      </c>
      <c r="AB122" s="1">
        <f t="shared" si="8"/>
        <v>0</v>
      </c>
      <c r="AF122" s="1">
        <f t="shared" si="11"/>
        <v>0.51742398849247684</v>
      </c>
      <c r="AH122" s="1">
        <f t="shared" si="12"/>
        <v>51.742398849247685</v>
      </c>
      <c r="AJ122" s="1">
        <f t="shared" si="13"/>
        <v>154.7629078242702</v>
      </c>
      <c r="AL122" s="1">
        <f t="shared" si="14"/>
        <v>154.7629078242702</v>
      </c>
      <c r="AN122" s="1">
        <f t="shared" si="15"/>
        <v>0.15476290782427021</v>
      </c>
    </row>
    <row r="123" spans="2:55" x14ac:dyDescent="0.25">
      <c r="B123" s="1">
        <f t="shared" si="9"/>
        <v>70</v>
      </c>
      <c r="D123" s="1">
        <f t="shared" si="10"/>
        <v>0.99951501764198147</v>
      </c>
      <c r="F123" s="1">
        <f t="shared" si="0"/>
        <v>-3.3780669691048051E-2</v>
      </c>
      <c r="I123" s="1">
        <f t="shared" si="1"/>
        <v>1.0381029098748014</v>
      </c>
      <c r="L123" s="1">
        <f t="shared" si="2"/>
        <v>34.539700656963234</v>
      </c>
      <c r="N123" s="1">
        <f t="shared" si="3"/>
        <v>0</v>
      </c>
      <c r="P123" s="1">
        <f t="shared" si="4"/>
        <v>0</v>
      </c>
      <c r="R123" s="1">
        <f t="shared" si="5"/>
        <v>0</v>
      </c>
      <c r="U123" s="1">
        <f t="shared" si="6"/>
        <v>1.0406112877297279E+98</v>
      </c>
      <c r="Y123" s="1">
        <f t="shared" si="7"/>
        <v>0</v>
      </c>
      <c r="AB123" s="1">
        <f t="shared" si="8"/>
        <v>0</v>
      </c>
      <c r="AF123" s="1">
        <f t="shared" si="11"/>
        <v>0.51879972413885223</v>
      </c>
      <c r="AH123" s="1">
        <f t="shared" si="12"/>
        <v>51.87997241388522</v>
      </c>
      <c r="AJ123" s="1">
        <f t="shared" si="13"/>
        <v>155.17439405947721</v>
      </c>
      <c r="AL123" s="1">
        <f t="shared" si="14"/>
        <v>155.17439405947721</v>
      </c>
      <c r="AN123" s="1">
        <f t="shared" si="15"/>
        <v>0.15517439405947722</v>
      </c>
    </row>
    <row r="124" spans="2:55" x14ac:dyDescent="0.25">
      <c r="B124" s="1">
        <f t="shared" si="9"/>
        <v>80</v>
      </c>
      <c r="D124" s="1">
        <f t="shared" si="10"/>
        <v>0.99944575365128396</v>
      </c>
      <c r="F124" s="1">
        <f t="shared" si="0"/>
        <v>-3.6113054937051581E-2</v>
      </c>
      <c r="I124" s="1">
        <f t="shared" si="1"/>
        <v>1.0407315113779154</v>
      </c>
      <c r="L124" s="1">
        <f t="shared" si="2"/>
        <v>32.304417393154679</v>
      </c>
      <c r="N124" s="1">
        <f t="shared" si="3"/>
        <v>0</v>
      </c>
      <c r="P124" s="1">
        <f t="shared" si="4"/>
        <v>0</v>
      </c>
      <c r="R124" s="1">
        <f t="shared" si="5"/>
        <v>0</v>
      </c>
      <c r="U124" s="1">
        <f t="shared" si="6"/>
        <v>1.0406112877297279E+98</v>
      </c>
      <c r="Y124" s="1">
        <f t="shared" si="7"/>
        <v>0</v>
      </c>
      <c r="AB124" s="1">
        <f t="shared" si="8"/>
        <v>0</v>
      </c>
      <c r="AF124" s="1">
        <f t="shared" si="11"/>
        <v>0.52007734486887025</v>
      </c>
      <c r="AH124" s="1">
        <f t="shared" si="12"/>
        <v>52.007734486887024</v>
      </c>
      <c r="AJ124" s="1">
        <f t="shared" si="13"/>
        <v>155.5565338590838</v>
      </c>
      <c r="AL124" s="1">
        <f t="shared" si="14"/>
        <v>155.5565338590838</v>
      </c>
      <c r="AN124" s="1">
        <f t="shared" si="15"/>
        <v>0.1555565338590838</v>
      </c>
    </row>
    <row r="125" spans="2:55" x14ac:dyDescent="0.25">
      <c r="B125" s="1">
        <f t="shared" si="9"/>
        <v>90</v>
      </c>
      <c r="D125" s="1">
        <f t="shared" si="10"/>
        <v>0.99937649446041454</v>
      </c>
      <c r="F125" s="1">
        <f t="shared" si="0"/>
        <v>-3.8303679053027249E-2</v>
      </c>
      <c r="I125" s="1">
        <f t="shared" si="1"/>
        <v>1.0431999451865688</v>
      </c>
      <c r="L125" s="1">
        <f t="shared" si="2"/>
        <v>30.452640836967877</v>
      </c>
      <c r="N125" s="1">
        <f t="shared" si="3"/>
        <v>0</v>
      </c>
      <c r="P125" s="1">
        <f t="shared" si="4"/>
        <v>0</v>
      </c>
      <c r="R125" s="1">
        <f t="shared" si="5"/>
        <v>0</v>
      </c>
      <c r="U125" s="1">
        <f t="shared" si="6"/>
        <v>1.0406112877297279E+98</v>
      </c>
      <c r="Y125" s="1">
        <f t="shared" si="7"/>
        <v>0</v>
      </c>
      <c r="AB125" s="1">
        <f t="shared" si="8"/>
        <v>0</v>
      </c>
      <c r="AF125" s="1">
        <f t="shared" si="11"/>
        <v>0.52127475212092489</v>
      </c>
      <c r="AH125" s="1">
        <f t="shared" si="12"/>
        <v>52.127475212092492</v>
      </c>
      <c r="AJ125" s="1">
        <f t="shared" si="13"/>
        <v>155.91468159150293</v>
      </c>
      <c r="AL125" s="1">
        <f t="shared" si="14"/>
        <v>155.91468159150293</v>
      </c>
      <c r="AN125" s="1">
        <f t="shared" si="15"/>
        <v>0.15591468159150293</v>
      </c>
    </row>
    <row r="126" spans="2:55" x14ac:dyDescent="0.25">
      <c r="B126" s="1">
        <f t="shared" si="9"/>
        <v>100</v>
      </c>
      <c r="D126" s="1">
        <f t="shared" si="10"/>
        <v>0.99930724006904081</v>
      </c>
      <c r="F126" s="1">
        <f t="shared" si="0"/>
        <v>-4.0375622857215854E-2</v>
      </c>
      <c r="I126" s="1">
        <f t="shared" si="1"/>
        <v>1.0455342671642218</v>
      </c>
      <c r="L126" s="1">
        <f t="shared" si="2"/>
        <v>28.885874181276719</v>
      </c>
      <c r="N126" s="1">
        <f t="shared" si="3"/>
        <v>0</v>
      </c>
      <c r="P126" s="1">
        <f t="shared" si="4"/>
        <v>0</v>
      </c>
      <c r="R126" s="1">
        <f t="shared" si="5"/>
        <v>0</v>
      </c>
      <c r="U126" s="1">
        <f t="shared" si="6"/>
        <v>1.0406112877297279E+98</v>
      </c>
      <c r="Y126" s="1">
        <f t="shared" si="7"/>
        <v>0</v>
      </c>
      <c r="AB126" s="1">
        <f t="shared" si="8"/>
        <v>0</v>
      </c>
      <c r="AF126" s="1">
        <f t="shared" si="11"/>
        <v>0.52240498145874281</v>
      </c>
      <c r="AH126" s="1">
        <f t="shared" si="12"/>
        <v>52.240498145874284</v>
      </c>
      <c r="AJ126" s="1">
        <f t="shared" si="13"/>
        <v>156.25273622893602</v>
      </c>
      <c r="AL126" s="1">
        <f t="shared" si="14"/>
        <v>156.25273622893602</v>
      </c>
      <c r="AN126" s="1">
        <f t="shared" si="15"/>
        <v>0.15625273622893601</v>
      </c>
    </row>
    <row r="127" spans="2:55" x14ac:dyDescent="0.25">
      <c r="B127" s="1">
        <f t="shared" si="9"/>
        <v>110</v>
      </c>
      <c r="D127" s="1">
        <f t="shared" si="10"/>
        <v>0.99923799047683015</v>
      </c>
      <c r="F127" s="1">
        <f t="shared" si="0"/>
        <v>-4.2346310503029012E-2</v>
      </c>
      <c r="I127" s="1">
        <f t="shared" si="1"/>
        <v>1.0477541484646413</v>
      </c>
      <c r="L127" s="1">
        <f t="shared" si="2"/>
        <v>27.537750724911323</v>
      </c>
      <c r="N127" s="1">
        <f t="shared" si="3"/>
        <v>0</v>
      </c>
      <c r="P127" s="1">
        <f t="shared" si="4"/>
        <v>0</v>
      </c>
      <c r="R127" s="1">
        <f t="shared" si="5"/>
        <v>0</v>
      </c>
      <c r="U127" s="1">
        <f t="shared" si="6"/>
        <v>1.0406112877297279E+98</v>
      </c>
      <c r="Y127" s="1">
        <f t="shared" si="7"/>
        <v>0</v>
      </c>
      <c r="AB127" s="1">
        <f t="shared" si="8"/>
        <v>0</v>
      </c>
      <c r="AF127" s="1">
        <f t="shared" si="11"/>
        <v>0.5234778749127853</v>
      </c>
      <c r="AH127" s="1">
        <f t="shared" si="12"/>
        <v>52.347787491278531</v>
      </c>
      <c r="AJ127" s="1">
        <f t="shared" si="13"/>
        <v>156.57364154918798</v>
      </c>
      <c r="AL127" s="1">
        <f t="shared" si="14"/>
        <v>156.57364154918798</v>
      </c>
      <c r="AN127" s="1">
        <f t="shared" si="15"/>
        <v>0.15657364154918801</v>
      </c>
    </row>
    <row r="128" spans="2:55" x14ac:dyDescent="0.25">
      <c r="B128" s="1">
        <f t="shared" si="9"/>
        <v>120</v>
      </c>
      <c r="D128" s="1">
        <f t="shared" si="10"/>
        <v>0.99916874568344993</v>
      </c>
      <c r="F128" s="1">
        <f t="shared" si="0"/>
        <v>-4.422927882443662E-2</v>
      </c>
      <c r="I128" s="1">
        <f t="shared" si="1"/>
        <v>1.04987487245692</v>
      </c>
      <c r="L128" s="1">
        <f t="shared" si="2"/>
        <v>26.361703257431479</v>
      </c>
      <c r="N128" s="1">
        <f t="shared" si="3"/>
        <v>3.3250149621870995E-304</v>
      </c>
      <c r="P128" s="1">
        <f t="shared" si="4"/>
        <v>0</v>
      </c>
      <c r="R128" s="1">
        <f t="shared" si="5"/>
        <v>3.100730667455365E-306</v>
      </c>
      <c r="U128" s="1">
        <f t="shared" si="6"/>
        <v>1.0406112877297279E+98</v>
      </c>
      <c r="Y128" s="1">
        <f t="shared" si="7"/>
        <v>0</v>
      </c>
      <c r="AB128" s="1">
        <f t="shared" si="8"/>
        <v>0</v>
      </c>
      <c r="AF128" s="1">
        <f t="shared" si="11"/>
        <v>0.52450107971867632</v>
      </c>
      <c r="AH128" s="1">
        <f t="shared" si="12"/>
        <v>52.450107971867631</v>
      </c>
      <c r="AJ128" s="1">
        <f t="shared" si="13"/>
        <v>156.8796848610198</v>
      </c>
      <c r="AL128" s="1">
        <f t="shared" si="14"/>
        <v>156.8796848610198</v>
      </c>
      <c r="AN128" s="1">
        <f t="shared" si="15"/>
        <v>0.15687968486101983</v>
      </c>
    </row>
    <row r="129" spans="2:40" x14ac:dyDescent="0.25">
      <c r="B129" s="1">
        <f t="shared" si="9"/>
        <v>130</v>
      </c>
      <c r="D129" s="1">
        <f t="shared" si="10"/>
        <v>0.99909950568856754</v>
      </c>
      <c r="F129" s="1">
        <f t="shared" si="0"/>
        <v>-4.6035292954868565E-2</v>
      </c>
      <c r="I129" s="1">
        <f t="shared" si="1"/>
        <v>1.0519085938692632</v>
      </c>
      <c r="L129" s="1">
        <f t="shared" si="2"/>
        <v>25.323964066239185</v>
      </c>
      <c r="N129" s="1">
        <f t="shared" si="3"/>
        <v>6.8097871755185471E-281</v>
      </c>
      <c r="P129" s="1">
        <f t="shared" si="4"/>
        <v>0</v>
      </c>
      <c r="R129" s="1">
        <f t="shared" si="5"/>
        <v>6.3486750837348906E-283</v>
      </c>
      <c r="U129" s="1">
        <f t="shared" si="6"/>
        <v>1.0406112877297279E+98</v>
      </c>
      <c r="Y129" s="1">
        <f t="shared" si="7"/>
        <v>0</v>
      </c>
      <c r="AB129" s="1">
        <f t="shared" si="8"/>
        <v>0</v>
      </c>
      <c r="AF129" s="1">
        <f t="shared" si="11"/>
        <v>0.52548067808216847</v>
      </c>
      <c r="AH129" s="1">
        <f t="shared" si="12"/>
        <v>52.54806780821685</v>
      </c>
      <c r="AJ129" s="1">
        <f t="shared" si="13"/>
        <v>157.17268536854488</v>
      </c>
      <c r="AL129" s="1">
        <f t="shared" si="14"/>
        <v>157.17268536854488</v>
      </c>
      <c r="AN129" s="1">
        <f t="shared" si="15"/>
        <v>0.1571726853685449</v>
      </c>
    </row>
    <row r="130" spans="2:40" x14ac:dyDescent="0.25">
      <c r="B130" s="1">
        <f t="shared" si="9"/>
        <v>140</v>
      </c>
      <c r="D130" s="1">
        <f t="shared" si="10"/>
        <v>0.99903027049185067</v>
      </c>
      <c r="F130" s="1">
        <f t="shared" si="0"/>
        <v>-4.7773081223125902E-2</v>
      </c>
      <c r="I130" s="1">
        <f t="shared" si="1"/>
        <v>1.0538651682492399</v>
      </c>
      <c r="L130" s="1">
        <f t="shared" si="2"/>
        <v>24.399370014080592</v>
      </c>
      <c r="N130" s="1">
        <f t="shared" si="3"/>
        <v>6.5383956143052714E-261</v>
      </c>
      <c r="P130" s="1">
        <f t="shared" si="4"/>
        <v>0</v>
      </c>
      <c r="R130" s="1">
        <f t="shared" si="5"/>
        <v>6.0939643063427679E-263</v>
      </c>
      <c r="U130" s="1">
        <f t="shared" si="6"/>
        <v>1.0406112877297279E+98</v>
      </c>
      <c r="Y130" s="1">
        <f t="shared" si="7"/>
        <v>0</v>
      </c>
      <c r="AB130" s="1">
        <f t="shared" si="8"/>
        <v>0</v>
      </c>
      <c r="AF130" s="1">
        <f t="shared" si="11"/>
        <v>0.52642160204898891</v>
      </c>
      <c r="AH130" s="1">
        <f t="shared" si="12"/>
        <v>52.642160204898893</v>
      </c>
      <c r="AJ130" s="1">
        <f t="shared" si="13"/>
        <v>157.4541182599169</v>
      </c>
      <c r="AL130" s="1">
        <f t="shared" si="14"/>
        <v>157.4541182599169</v>
      </c>
      <c r="AN130" s="1">
        <f t="shared" si="15"/>
        <v>0.1574541182599169</v>
      </c>
    </row>
    <row r="131" spans="2:40" x14ac:dyDescent="0.25">
      <c r="B131" s="1">
        <f t="shared" si="9"/>
        <v>150</v>
      </c>
      <c r="D131" s="1">
        <f t="shared" si="10"/>
        <v>0.9989610400929666</v>
      </c>
      <c r="F131" s="1">
        <f t="shared" si="0"/>
        <v>-4.944983702361614E-2</v>
      </c>
      <c r="I131" s="1">
        <f t="shared" si="1"/>
        <v>1.0557527184266551</v>
      </c>
      <c r="L131" s="1">
        <f t="shared" si="2"/>
        <v>23.568734227113051</v>
      </c>
      <c r="N131" s="1">
        <f t="shared" si="3"/>
        <v>1.3630985804506763E-243</v>
      </c>
      <c r="P131" s="1">
        <f t="shared" si="4"/>
        <v>0</v>
      </c>
      <c r="R131" s="1">
        <f t="shared" si="5"/>
        <v>1.2700919262873823E-245</v>
      </c>
      <c r="U131" s="1">
        <f t="shared" si="6"/>
        <v>1.0406112877297279E+98</v>
      </c>
      <c r="Y131" s="1">
        <f t="shared" si="7"/>
        <v>0</v>
      </c>
      <c r="AB131" s="1">
        <f t="shared" si="8"/>
        <v>0</v>
      </c>
      <c r="AF131" s="1">
        <f t="shared" si="11"/>
        <v>0.52732791684023417</v>
      </c>
      <c r="AH131" s="1">
        <f t="shared" si="12"/>
        <v>52.732791684023418</v>
      </c>
      <c r="AJ131" s="1">
        <f t="shared" si="13"/>
        <v>157.72519945370908</v>
      </c>
      <c r="AL131" s="1">
        <f t="shared" si="14"/>
        <v>157.72519945370908</v>
      </c>
      <c r="AN131" s="1">
        <f t="shared" si="15"/>
        <v>0.15772519945370911</v>
      </c>
    </row>
    <row r="132" spans="2:40" x14ac:dyDescent="0.25">
      <c r="B132" s="1">
        <f t="shared" si="9"/>
        <v>160</v>
      </c>
      <c r="D132" s="1">
        <f t="shared" si="10"/>
        <v>0.99889181449158293</v>
      </c>
      <c r="F132" s="1">
        <f t="shared" si="0"/>
        <v>-5.1071572070703002E-2</v>
      </c>
      <c r="I132" s="1">
        <f t="shared" si="1"/>
        <v>1.0575780332424947</v>
      </c>
      <c r="L132" s="1">
        <f t="shared" si="2"/>
        <v>22.817136814944973</v>
      </c>
      <c r="N132" s="1">
        <f t="shared" si="3"/>
        <v>1.9480597248254141E-228</v>
      </c>
      <c r="P132" s="1">
        <f t="shared" si="4"/>
        <v>0</v>
      </c>
      <c r="R132" s="1">
        <f t="shared" si="5"/>
        <v>1.8146353387347483E-230</v>
      </c>
      <c r="U132" s="1">
        <f t="shared" si="6"/>
        <v>1.0406112877297279E+98</v>
      </c>
      <c r="Y132" s="1">
        <f t="shared" si="7"/>
        <v>0</v>
      </c>
      <c r="AB132" s="1">
        <f t="shared" si="8"/>
        <v>0</v>
      </c>
      <c r="AF132" s="1">
        <f t="shared" si="11"/>
        <v>0.52820302029601751</v>
      </c>
      <c r="AH132" s="1">
        <f t="shared" si="12"/>
        <v>52.820302029601748</v>
      </c>
      <c r="AJ132" s="1">
        <f t="shared" si="13"/>
        <v>157.98694525304609</v>
      </c>
      <c r="AL132" s="1">
        <f t="shared" si="14"/>
        <v>157.98694525304609</v>
      </c>
      <c r="AN132" s="1">
        <f t="shared" si="15"/>
        <v>0.1579869452530461</v>
      </c>
    </row>
    <row r="133" spans="2:40" x14ac:dyDescent="0.25">
      <c r="B133" s="1">
        <f t="shared" si="9"/>
        <v>170</v>
      </c>
      <c r="D133" s="1">
        <f t="shared" si="10"/>
        <v>0.99882259368736726</v>
      </c>
      <c r="F133" s="1">
        <f t="shared" si="0"/>
        <v>-5.2643371528463337E-2</v>
      </c>
      <c r="I133" s="1">
        <f t="shared" si="1"/>
        <v>1.0593468555284369</v>
      </c>
      <c r="L133" s="1">
        <f t="shared" si="2"/>
        <v>22.132777486895375</v>
      </c>
      <c r="N133" s="1">
        <f t="shared" si="3"/>
        <v>4.5975015003756531E-215</v>
      </c>
      <c r="P133" s="1">
        <f t="shared" si="4"/>
        <v>0</v>
      </c>
      <c r="R133" s="1">
        <f t="shared" si="5"/>
        <v>4.2814237267902343E-217</v>
      </c>
      <c r="U133" s="1">
        <f t="shared" si="6"/>
        <v>1.0406112877297279E+98</v>
      </c>
      <c r="Y133" s="1">
        <f t="shared" si="7"/>
        <v>0</v>
      </c>
      <c r="AB133" s="1">
        <f t="shared" si="8"/>
        <v>0</v>
      </c>
      <c r="AF133" s="1">
        <f t="shared" si="11"/>
        <v>0.52904978692673499</v>
      </c>
      <c r="AH133" s="1">
        <f t="shared" si="12"/>
        <v>52.904978692673495</v>
      </c>
      <c r="AJ133" s="1">
        <f t="shared" si="13"/>
        <v>158.24021543172529</v>
      </c>
      <c r="AL133" s="1">
        <f t="shared" si="14"/>
        <v>158.24021543172529</v>
      </c>
      <c r="AN133" s="1">
        <f t="shared" si="15"/>
        <v>0.15824021543172531</v>
      </c>
    </row>
    <row r="134" spans="2:40" x14ac:dyDescent="0.25">
      <c r="B134" s="1">
        <f t="shared" si="9"/>
        <v>180</v>
      </c>
      <c r="D134" s="1">
        <f t="shared" si="10"/>
        <v>0.99875337767998706</v>
      </c>
      <c r="F134" s="1">
        <f t="shared" si="0"/>
        <v>-5.4169582405577364E-2</v>
      </c>
      <c r="I134" s="1">
        <f t="shared" si="1"/>
        <v>1.0610640947639103</v>
      </c>
      <c r="L134" s="1">
        <f t="shared" si="2"/>
        <v>21.506184049655577</v>
      </c>
      <c r="N134" s="1">
        <f t="shared" si="3"/>
        <v>3.5503205514608871E-203</v>
      </c>
      <c r="P134" s="1">
        <f t="shared" si="4"/>
        <v>0</v>
      </c>
      <c r="R134" s="1">
        <f t="shared" si="5"/>
        <v>3.3053173404588277E-205</v>
      </c>
      <c r="U134" s="1">
        <f t="shared" si="6"/>
        <v>1.0406112877297279E+98</v>
      </c>
      <c r="Y134" s="1">
        <f t="shared" si="7"/>
        <v>0</v>
      </c>
      <c r="AB134" s="1">
        <f t="shared" si="8"/>
        <v>0</v>
      </c>
      <c r="AF134" s="1">
        <f t="shared" si="11"/>
        <v>0.52987067429020662</v>
      </c>
      <c r="AH134" s="1">
        <f t="shared" si="12"/>
        <v>52.987067429020662</v>
      </c>
      <c r="AJ134" s="1">
        <f t="shared" si="13"/>
        <v>158.48574505190624</v>
      </c>
      <c r="AL134" s="1">
        <f t="shared" si="14"/>
        <v>158.48574505190624</v>
      </c>
      <c r="AN134" s="1">
        <f t="shared" si="15"/>
        <v>0.15848574505190624</v>
      </c>
    </row>
    <row r="135" spans="2:40" x14ac:dyDescent="0.25">
      <c r="B135" s="1">
        <f t="shared" si="9"/>
        <v>190</v>
      </c>
      <c r="D135" s="1">
        <f t="shared" si="10"/>
        <v>0.99868416646910996</v>
      </c>
      <c r="F135" s="1">
        <f t="shared" si="0"/>
        <v>-5.5653955385987171E-2</v>
      </c>
      <c r="I135" s="1">
        <f t="shared" si="1"/>
        <v>1.0627339871759742</v>
      </c>
      <c r="L135" s="1">
        <f t="shared" si="2"/>
        <v>20.929653282262564</v>
      </c>
      <c r="N135" s="1">
        <f t="shared" si="3"/>
        <v>1.5392283865782988E-192</v>
      </c>
      <c r="P135" s="1">
        <f t="shared" si="4"/>
        <v>0</v>
      </c>
      <c r="R135" s="1">
        <f t="shared" si="5"/>
        <v>1.432609912707443E-194</v>
      </c>
      <c r="U135" s="1">
        <f t="shared" si="6"/>
        <v>1.0406112877297279E+98</v>
      </c>
      <c r="Y135" s="1">
        <f t="shared" si="7"/>
        <v>0</v>
      </c>
      <c r="AB135" s="1">
        <f t="shared" si="8"/>
        <v>0</v>
      </c>
      <c r="AF135" s="1">
        <f t="shared" si="11"/>
        <v>0.53066780308061579</v>
      </c>
      <c r="AH135" s="1">
        <f t="shared" si="12"/>
        <v>53.066780308061581</v>
      </c>
      <c r="AJ135" s="1">
        <f t="shared" si="13"/>
        <v>158.72416841892792</v>
      </c>
      <c r="AL135" s="1">
        <f t="shared" si="14"/>
        <v>158.72416841892792</v>
      </c>
      <c r="AN135" s="1">
        <f t="shared" si="15"/>
        <v>0.15872416841892792</v>
      </c>
    </row>
    <row r="136" spans="2:40" x14ac:dyDescent="0.25">
      <c r="B136" s="1">
        <f t="shared" si="9"/>
        <v>200</v>
      </c>
      <c r="D136" s="1">
        <f t="shared" si="10"/>
        <v>0.99861496005440364</v>
      </c>
      <c r="F136" s="1">
        <f t="shared" si="0"/>
        <v>-5.7099753433935807E-2</v>
      </c>
      <c r="I136" s="1">
        <f t="shared" si="1"/>
        <v>1.0643602183366612</v>
      </c>
      <c r="L136" s="1">
        <f t="shared" si="2"/>
        <v>20.396847637365216</v>
      </c>
      <c r="N136" s="1">
        <f t="shared" si="3"/>
        <v>5.7703626480481704E-183</v>
      </c>
      <c r="P136" s="1">
        <f t="shared" si="4"/>
        <v>0</v>
      </c>
      <c r="R136" s="1">
        <f t="shared" si="5"/>
        <v>5.3691719959081469E-185</v>
      </c>
      <c r="U136" s="1">
        <f t="shared" si="6"/>
        <v>1.0406112877297279E+98</v>
      </c>
      <c r="Y136" s="1">
        <f t="shared" si="7"/>
        <v>0</v>
      </c>
      <c r="AB136" s="1">
        <f t="shared" si="8"/>
        <v>0</v>
      </c>
      <c r="AF136" s="1">
        <f t="shared" si="11"/>
        <v>0.53144301845888064</v>
      </c>
      <c r="AH136" s="1">
        <f t="shared" si="12"/>
        <v>53.144301845888066</v>
      </c>
      <c r="AJ136" s="1">
        <f t="shared" si="13"/>
        <v>158.95603742538799</v>
      </c>
      <c r="AL136" s="1">
        <f t="shared" si="14"/>
        <v>158.95603742538799</v>
      </c>
      <c r="AN136" s="1">
        <f t="shared" si="15"/>
        <v>0.158956037425388</v>
      </c>
    </row>
    <row r="137" spans="2:40" x14ac:dyDescent="0.25">
      <c r="B137" s="1">
        <f t="shared" si="9"/>
        <v>210</v>
      </c>
      <c r="D137" s="1">
        <f t="shared" si="10"/>
        <v>0.99854575843553561</v>
      </c>
      <c r="F137" s="1">
        <f t="shared" si="0"/>
        <v>-5.8509836218597275E-2</v>
      </c>
      <c r="I137" s="1">
        <f t="shared" si="1"/>
        <v>1.0659460184668228</v>
      </c>
      <c r="L137" s="1">
        <f t="shared" si="2"/>
        <v>19.902498914547753</v>
      </c>
      <c r="N137" s="1">
        <f t="shared" si="3"/>
        <v>2.6534868789303095E-174</v>
      </c>
      <c r="P137" s="1">
        <f t="shared" si="4"/>
        <v>0</v>
      </c>
      <c r="R137" s="1">
        <f t="shared" si="5"/>
        <v>2.4683145417461297E-176</v>
      </c>
      <c r="U137" s="1">
        <f t="shared" si="6"/>
        <v>1.0406112877297279E+98</v>
      </c>
      <c r="Y137" s="1">
        <f t="shared" si="7"/>
        <v>0</v>
      </c>
      <c r="AB137" s="1">
        <f t="shared" si="8"/>
        <v>0</v>
      </c>
      <c r="AF137" s="1">
        <f t="shared" si="11"/>
        <v>0.5321979377306465</v>
      </c>
      <c r="AH137" s="1">
        <f t="shared" si="12"/>
        <v>53.219793773064652</v>
      </c>
      <c r="AJ137" s="1">
        <f t="shared" si="13"/>
        <v>159.18183581175865</v>
      </c>
      <c r="AL137" s="1">
        <f t="shared" si="14"/>
        <v>159.18183581175865</v>
      </c>
      <c r="AN137" s="1">
        <f t="shared" si="15"/>
        <v>0.15918183581175865</v>
      </c>
    </row>
    <row r="138" spans="2:40" x14ac:dyDescent="0.25">
      <c r="B138" s="1">
        <f t="shared" si="9"/>
        <v>220</v>
      </c>
      <c r="D138" s="1">
        <f t="shared" si="10"/>
        <v>0.99847656161217369</v>
      </c>
      <c r="F138" s="1">
        <f t="shared" si="0"/>
        <v>-5.9886726629845864E-2</v>
      </c>
      <c r="I138" s="1">
        <f t="shared" si="1"/>
        <v>1.0674942375250875</v>
      </c>
      <c r="L138" s="1">
        <f t="shared" si="2"/>
        <v>19.442186912894638</v>
      </c>
      <c r="N138" s="1">
        <f t="shared" si="3"/>
        <v>1.9924496064679681E-166</v>
      </c>
      <c r="P138" s="1">
        <f t="shared" si="4"/>
        <v>0</v>
      </c>
      <c r="R138" s="1">
        <f t="shared" si="5"/>
        <v>1.8528927439641538E-168</v>
      </c>
      <c r="U138" s="1">
        <f t="shared" si="6"/>
        <v>1.0406112877297279E+98</v>
      </c>
      <c r="Y138" s="1">
        <f t="shared" si="7"/>
        <v>0</v>
      </c>
      <c r="AB138" s="1">
        <f t="shared" si="8"/>
        <v>0</v>
      </c>
      <c r="AF138" s="1">
        <f t="shared" si="11"/>
        <v>0.53293398791242919</v>
      </c>
      <c r="AH138" s="1">
        <f t="shared" si="12"/>
        <v>53.293398791242922</v>
      </c>
      <c r="AJ138" s="1">
        <f t="shared" si="13"/>
        <v>159.40199040252116</v>
      </c>
      <c r="AL138" s="1">
        <f t="shared" si="14"/>
        <v>159.40199040252116</v>
      </c>
      <c r="AN138" s="1">
        <f t="shared" si="15"/>
        <v>0.15940199040252118</v>
      </c>
    </row>
    <row r="139" spans="2:40" x14ac:dyDescent="0.25">
      <c r="B139" s="1">
        <f t="shared" si="9"/>
        <v>230</v>
      </c>
      <c r="D139" s="1">
        <f t="shared" si="10"/>
        <v>0.99840736958398546</v>
      </c>
      <c r="F139" s="1">
        <f t="shared" si="0"/>
        <v>-6.1232663820453732E-2</v>
      </c>
      <c r="I139" s="1">
        <f t="shared" si="1"/>
        <v>1.0690074050880458</v>
      </c>
      <c r="L139" s="1">
        <f t="shared" si="2"/>
        <v>19.012171625594174</v>
      </c>
      <c r="N139" s="1">
        <f t="shared" si="3"/>
        <v>3.0942236007634527E-159</v>
      </c>
      <c r="P139" s="1">
        <f t="shared" si="4"/>
        <v>0</v>
      </c>
      <c r="R139" s="1">
        <f t="shared" si="5"/>
        <v>2.8766964316295657E-161</v>
      </c>
      <c r="U139" s="1">
        <f t="shared" si="6"/>
        <v>1.0406112877297279E+98</v>
      </c>
      <c r="Y139" s="1">
        <f t="shared" si="7"/>
        <v>0</v>
      </c>
      <c r="AB139" s="1">
        <f t="shared" si="8"/>
        <v>0</v>
      </c>
      <c r="AF139" s="1">
        <f t="shared" si="11"/>
        <v>0.53365243568987886</v>
      </c>
      <c r="AH139" s="1">
        <f t="shared" si="12"/>
        <v>53.365243568987886</v>
      </c>
      <c r="AJ139" s="1">
        <f t="shared" si="13"/>
        <v>159.61688006676334</v>
      </c>
      <c r="AL139" s="1">
        <f t="shared" si="14"/>
        <v>159.61688006676334</v>
      </c>
      <c r="AN139" s="1">
        <f t="shared" si="15"/>
        <v>0.15961688006676336</v>
      </c>
    </row>
    <row r="140" spans="2:40" x14ac:dyDescent="0.25">
      <c r="B140" s="1">
        <f t="shared" si="9"/>
        <v>240</v>
      </c>
      <c r="D140" s="1">
        <f t="shared" si="10"/>
        <v>0.99833818235063865</v>
      </c>
      <c r="F140" s="1">
        <f t="shared" si="0"/>
        <v>-6.2549645967499415E-2</v>
      </c>
      <c r="I140" s="1">
        <f t="shared" si="1"/>
        <v>1.0704877786254172</v>
      </c>
      <c r="L140" s="1">
        <f t="shared" si="2"/>
        <v>18.609264313973551</v>
      </c>
      <c r="N140" s="1">
        <f t="shared" si="3"/>
        <v>1.2101601501380399E-152</v>
      </c>
      <c r="P140" s="1">
        <f t="shared" si="4"/>
        <v>0</v>
      </c>
      <c r="R140" s="1">
        <f t="shared" si="5"/>
        <v>1.1247723249965E-154</v>
      </c>
      <c r="U140" s="1">
        <f t="shared" si="6"/>
        <v>1.0406112877297279E+98</v>
      </c>
      <c r="Y140" s="1">
        <f t="shared" si="7"/>
        <v>0</v>
      </c>
      <c r="AB140" s="1">
        <f t="shared" si="8"/>
        <v>0</v>
      </c>
      <c r="AF140" s="1">
        <f t="shared" si="11"/>
        <v>0.53435441157073593</v>
      </c>
      <c r="AH140" s="1">
        <f t="shared" si="12"/>
        <v>53.435441157073591</v>
      </c>
      <c r="AJ140" s="1">
        <f t="shared" si="13"/>
        <v>159.82684294239357</v>
      </c>
      <c r="AL140" s="1">
        <f t="shared" si="14"/>
        <v>159.82684294239357</v>
      </c>
      <c r="AN140" s="1">
        <f t="shared" si="15"/>
        <v>0.15982684294239358</v>
      </c>
    </row>
    <row r="141" spans="2:40" x14ac:dyDescent="0.25">
      <c r="B141" s="1">
        <f t="shared" si="9"/>
        <v>250</v>
      </c>
      <c r="D141" s="1">
        <f t="shared" si="10"/>
        <v>0.99826899991180085</v>
      </c>
      <c r="F141" s="1">
        <f t="shared" si="0"/>
        <v>-6.3839465088378747E-2</v>
      </c>
      <c r="I141" s="1">
        <f t="shared" si="1"/>
        <v>1.0719373828062455</v>
      </c>
      <c r="L141" s="1">
        <f t="shared" si="2"/>
        <v>18.230727244524164</v>
      </c>
      <c r="N141" s="1">
        <f t="shared" si="3"/>
        <v>1.4064031818298452E-146</v>
      </c>
      <c r="P141" s="1">
        <f t="shared" si="4"/>
        <v>0</v>
      </c>
      <c r="R141" s="1">
        <f t="shared" si="5"/>
        <v>1.306805870247082E-148</v>
      </c>
      <c r="U141" s="1">
        <f t="shared" si="6"/>
        <v>1.0406112877297279E+98</v>
      </c>
      <c r="Y141" s="1">
        <f t="shared" si="7"/>
        <v>0</v>
      </c>
      <c r="AB141" s="1">
        <f t="shared" si="8"/>
        <v>0</v>
      </c>
      <c r="AF141" s="1">
        <f t="shared" si="11"/>
        <v>0.535040929551032</v>
      </c>
      <c r="AH141" s="1">
        <f t="shared" si="12"/>
        <v>53.504092955103197</v>
      </c>
      <c r="AJ141" s="1">
        <f t="shared" si="13"/>
        <v>160.0321823183545</v>
      </c>
      <c r="AL141" s="1">
        <f t="shared" si="14"/>
        <v>160.0321823183545</v>
      </c>
      <c r="AN141" s="1">
        <f t="shared" si="15"/>
        <v>0.1600321823183545</v>
      </c>
    </row>
    <row r="142" spans="2:40" x14ac:dyDescent="0.25">
      <c r="B142" s="1">
        <f t="shared" si="9"/>
        <v>260</v>
      </c>
      <c r="D142" s="1">
        <f t="shared" si="10"/>
        <v>0.9981998222671401</v>
      </c>
      <c r="F142" s="1">
        <f t="shared" si="0"/>
        <v>-6.5103735644593722E-2</v>
      </c>
      <c r="I142" s="1">
        <f t="shared" si="1"/>
        <v>1.07335804179244</v>
      </c>
      <c r="L142" s="1">
        <f t="shared" si="2"/>
        <v>17.874194849939887</v>
      </c>
      <c r="N142" s="1">
        <f t="shared" si="3"/>
        <v>5.5866211451878587E-141</v>
      </c>
      <c r="P142" s="1">
        <f t="shared" si="4"/>
        <v>0</v>
      </c>
      <c r="R142" s="1">
        <f t="shared" si="5"/>
        <v>5.1895529517635594E-143</v>
      </c>
      <c r="U142" s="1">
        <f t="shared" si="6"/>
        <v>1.0406112877297279E+98</v>
      </c>
      <c r="Y142" s="1">
        <f t="shared" si="7"/>
        <v>0</v>
      </c>
      <c r="AB142" s="1">
        <f t="shared" si="8"/>
        <v>0</v>
      </c>
      <c r="AF142" s="1">
        <f t="shared" si="11"/>
        <v>0.53571290327310961</v>
      </c>
      <c r="AH142" s="1">
        <f t="shared" si="12"/>
        <v>53.571290327310962</v>
      </c>
      <c r="AJ142" s="1">
        <f t="shared" si="13"/>
        <v>160.23317146753027</v>
      </c>
      <c r="AL142" s="1">
        <f t="shared" si="14"/>
        <v>160.23317146753027</v>
      </c>
      <c r="AN142" s="1">
        <f t="shared" si="15"/>
        <v>0.16023317146753027</v>
      </c>
    </row>
    <row r="143" spans="2:40" x14ac:dyDescent="0.25">
      <c r="B143" s="1">
        <f t="shared" si="9"/>
        <v>270</v>
      </c>
      <c r="D143" s="1">
        <f t="shared" si="10"/>
        <v>0.9981306494163239</v>
      </c>
      <c r="F143" s="1">
        <f t="shared" si="0"/>
        <v>-6.6343918236654933E-2</v>
      </c>
      <c r="I143" s="1">
        <f t="shared" si="1"/>
        <v>1.0747514059908365</v>
      </c>
      <c r="L143" s="1">
        <f t="shared" si="2"/>
        <v>17.537611105933959</v>
      </c>
      <c r="N143" s="1">
        <f t="shared" si="3"/>
        <v>8.5457793455213805E-136</v>
      </c>
      <c r="P143" s="1">
        <f t="shared" si="4"/>
        <v>0</v>
      </c>
      <c r="R143" s="1">
        <f t="shared" si="5"/>
        <v>7.9361875102616158E-138</v>
      </c>
      <c r="U143" s="1">
        <f t="shared" si="6"/>
        <v>1.0406112877297279E+98</v>
      </c>
      <c r="Y143" s="1">
        <f t="shared" si="7"/>
        <v>0</v>
      </c>
      <c r="AB143" s="1">
        <f t="shared" si="8"/>
        <v>0</v>
      </c>
      <c r="AF143" s="1">
        <f t="shared" si="11"/>
        <v>0.53637115941137037</v>
      </c>
      <c r="AH143" s="1">
        <f t="shared" si="12"/>
        <v>53.63711594113704</v>
      </c>
      <c r="AJ143" s="1">
        <f t="shared" si="13"/>
        <v>160.4300576504597</v>
      </c>
      <c r="AL143" s="1">
        <f t="shared" si="14"/>
        <v>160.4300576504597</v>
      </c>
      <c r="AN143" s="1">
        <f t="shared" si="15"/>
        <v>0.1604300576504597</v>
      </c>
    </row>
    <row r="144" spans="2:40" x14ac:dyDescent="0.25">
      <c r="B144" s="1">
        <f t="shared" si="9"/>
        <v>280</v>
      </c>
      <c r="D144" s="1">
        <f t="shared" si="10"/>
        <v>0.99806148135902029</v>
      </c>
      <c r="F144" s="1">
        <f t="shared" si="0"/>
        <v>-6.7561339382096103E-2</v>
      </c>
      <c r="I144" s="1">
        <f t="shared" si="1"/>
        <v>1.0761189743835284</v>
      </c>
      <c r="L144" s="1">
        <f t="shared" si="2"/>
        <v>17.219179323945045</v>
      </c>
      <c r="N144" s="1">
        <f t="shared" si="3"/>
        <v>5.5758374460975396E-131</v>
      </c>
      <c r="P144" s="1">
        <f t="shared" si="4"/>
        <v>0</v>
      </c>
      <c r="R144" s="1">
        <f t="shared" si="5"/>
        <v>5.1766630356424803E-133</v>
      </c>
      <c r="U144" s="1">
        <f t="shared" si="6"/>
        <v>1.0406112877297279E+98</v>
      </c>
      <c r="Y144" s="1">
        <f t="shared" si="7"/>
        <v>0</v>
      </c>
      <c r="AB144" s="1">
        <f t="shared" si="8"/>
        <v>0</v>
      </c>
      <c r="AF144" s="1">
        <f t="shared" si="11"/>
        <v>0.53701644884588695</v>
      </c>
      <c r="AH144" s="1">
        <f t="shared" si="12"/>
        <v>53.701644884588696</v>
      </c>
      <c r="AJ144" s="1">
        <f t="shared" si="13"/>
        <v>160.62306545739386</v>
      </c>
      <c r="AL144" s="1">
        <f t="shared" si="14"/>
        <v>160.62306545739386</v>
      </c>
      <c r="AN144" s="1">
        <f t="shared" si="15"/>
        <v>0.16062306545739388</v>
      </c>
    </row>
    <row r="145" spans="2:44" x14ac:dyDescent="0.25">
      <c r="B145" s="1">
        <f t="shared" si="9"/>
        <v>290</v>
      </c>
      <c r="D145" s="1">
        <f t="shared" si="10"/>
        <v>0.99799231809489686</v>
      </c>
      <c r="F145" s="1">
        <f t="shared" si="0"/>
        <v>-6.8757208140045822E-2</v>
      </c>
      <c r="I145" s="1">
        <f t="shared" si="1"/>
        <v>1.0774621132982474</v>
      </c>
      <c r="L145" s="1">
        <f t="shared" si="2"/>
        <v>16.917321551580635</v>
      </c>
      <c r="N145" s="1">
        <f t="shared" si="3"/>
        <v>1.6947085235056095E-126</v>
      </c>
      <c r="P145" s="1">
        <f t="shared" si="4"/>
        <v>0</v>
      </c>
      <c r="R145" s="1">
        <f t="shared" si="5"/>
        <v>1.572948055541966E-128</v>
      </c>
      <c r="U145" s="1">
        <f t="shared" si="6"/>
        <v>1.0406112877297279E+98</v>
      </c>
      <c r="Y145" s="1">
        <f t="shared" si="7"/>
        <v>0</v>
      </c>
      <c r="AB145" s="1">
        <f t="shared" si="8"/>
        <v>0</v>
      </c>
      <c r="AF145" s="1">
        <f t="shared" si="11"/>
        <v>0.53764945605497216</v>
      </c>
      <c r="AH145" s="1">
        <f t="shared" si="12"/>
        <v>53.764945605497218</v>
      </c>
      <c r="AJ145" s="1">
        <f t="shared" si="13"/>
        <v>160.8123996176387</v>
      </c>
      <c r="AL145" s="1">
        <f t="shared" si="14"/>
        <v>160.8123996176387</v>
      </c>
      <c r="AN145" s="1">
        <f t="shared" si="15"/>
        <v>0.16081239961763871</v>
      </c>
      <c r="AR145" s="9"/>
    </row>
    <row r="146" spans="2:44" x14ac:dyDescent="0.25">
      <c r="B146" s="1">
        <f t="shared" si="9"/>
        <v>300</v>
      </c>
      <c r="D146" s="1">
        <f t="shared" si="10"/>
        <v>0.99792315962362155</v>
      </c>
      <c r="F146" s="1">
        <f t="shared" si="0"/>
        <v>-6.9932630175937163E-2</v>
      </c>
      <c r="I146" s="1">
        <f t="shared" si="1"/>
        <v>1.0787820722888408</v>
      </c>
      <c r="L146" s="1">
        <f t="shared" si="2"/>
        <v>16.63064548088715</v>
      </c>
      <c r="N146" s="1">
        <f t="shared" si="3"/>
        <v>2.5898513423603848E-122</v>
      </c>
      <c r="P146" s="1">
        <f t="shared" si="4"/>
        <v>0</v>
      </c>
      <c r="R146" s="1">
        <f t="shared" si="5"/>
        <v>2.4031108619989788E-124</v>
      </c>
      <c r="U146" s="1">
        <f t="shared" si="6"/>
        <v>1.0406112877297279E+98</v>
      </c>
      <c r="Y146" s="1">
        <f t="shared" si="7"/>
        <v>0</v>
      </c>
      <c r="AB146" s="1">
        <f t="shared" si="8"/>
        <v>0</v>
      </c>
      <c r="AF146" s="1">
        <f t="shared" si="11"/>
        <v>0.53827080706189911</v>
      </c>
      <c r="AH146" s="1">
        <f t="shared" si="12"/>
        <v>53.827080706189911</v>
      </c>
      <c r="AJ146" s="1">
        <f t="shared" si="13"/>
        <v>160.99824737644039</v>
      </c>
      <c r="AL146" s="1">
        <f t="shared" si="14"/>
        <v>160.99824737644039</v>
      </c>
      <c r="AN146" s="1">
        <f t="shared" si="15"/>
        <v>0.16099824737644039</v>
      </c>
      <c r="AP146" s="9"/>
    </row>
    <row r="147" spans="2:44" x14ac:dyDescent="0.25">
      <c r="B147" s="1">
        <f t="shared" si="9"/>
        <v>310</v>
      </c>
      <c r="D147" s="1">
        <f t="shared" si="10"/>
        <v>0.99785400594486229</v>
      </c>
      <c r="F147" s="1">
        <f t="shared" si="0"/>
        <v>-7.1088619732241315E-2</v>
      </c>
      <c r="I147" s="1">
        <f t="shared" si="1"/>
        <v>1.0800799976517557</v>
      </c>
      <c r="L147" s="1">
        <f t="shared" si="2"/>
        <v>16.35791727691247</v>
      </c>
      <c r="N147" s="1">
        <f t="shared" si="3"/>
        <v>2.1268594064991484E-118</v>
      </c>
      <c r="P147" s="1">
        <f t="shared" si="4"/>
        <v>0</v>
      </c>
      <c r="R147" s="1">
        <f t="shared" si="5"/>
        <v>1.9729559260475944E-120</v>
      </c>
      <c r="U147" s="1">
        <f t="shared" si="6"/>
        <v>1.0406112877297279E+98</v>
      </c>
      <c r="Y147" s="1">
        <f t="shared" si="7"/>
        <v>0</v>
      </c>
      <c r="AB147" s="1">
        <f t="shared" si="8"/>
        <v>0</v>
      </c>
      <c r="AF147" s="1">
        <f t="shared" si="11"/>
        <v>0.53888107619886094</v>
      </c>
      <c r="AH147" s="1">
        <f t="shared" si="12"/>
        <v>53.888107619886092</v>
      </c>
      <c r="AJ147" s="1">
        <f t="shared" si="13"/>
        <v>161.18078051810394</v>
      </c>
      <c r="AL147" s="1">
        <f t="shared" si="14"/>
        <v>161.18078051810394</v>
      </c>
      <c r="AN147" s="1">
        <f t="shared" si="15"/>
        <v>0.16118078051810394</v>
      </c>
    </row>
    <row r="148" spans="2:44" x14ac:dyDescent="0.25">
      <c r="B148" s="1">
        <f t="shared" si="9"/>
        <v>320</v>
      </c>
      <c r="D148" s="1">
        <f t="shared" si="10"/>
        <v>0.9977848570582869</v>
      </c>
      <c r="F148" s="1">
        <f t="shared" si="0"/>
        <v>-7.2226109874103162E-2</v>
      </c>
      <c r="I148" s="1">
        <f t="shared" si="1"/>
        <v>1.0813569439949371</v>
      </c>
      <c r="L148" s="1">
        <f t="shared" si="2"/>
        <v>16.098039114171762</v>
      </c>
      <c r="N148" s="1">
        <f t="shared" si="3"/>
        <v>9.9486789234222815E-115</v>
      </c>
      <c r="P148" s="1">
        <f t="shared" si="4"/>
        <v>0</v>
      </c>
      <c r="R148" s="1">
        <f t="shared" si="5"/>
        <v>9.226217222910263E-117</v>
      </c>
      <c r="U148" s="1">
        <f t="shared" si="6"/>
        <v>1.0406112877297279E+98</v>
      </c>
      <c r="Y148" s="1">
        <f t="shared" si="7"/>
        <v>0</v>
      </c>
      <c r="AB148" s="1">
        <f t="shared" si="8"/>
        <v>0</v>
      </c>
      <c r="AF148" s="1">
        <f t="shared" si="11"/>
        <v>0.53948079189648712</v>
      </c>
      <c r="AH148" s="1">
        <f t="shared" si="12"/>
        <v>53.948079189648709</v>
      </c>
      <c r="AJ148" s="1">
        <f t="shared" si="13"/>
        <v>161.36015709765314</v>
      </c>
      <c r="AL148" s="1">
        <f t="shared" si="14"/>
        <v>161.36015709765314</v>
      </c>
      <c r="AN148" s="1">
        <f t="shared" si="15"/>
        <v>0.16136015709765317</v>
      </c>
    </row>
    <row r="149" spans="2:44" x14ac:dyDescent="0.25">
      <c r="B149" s="1">
        <f t="shared" si="9"/>
        <v>330</v>
      </c>
      <c r="D149" s="1">
        <f t="shared" si="10"/>
        <v>0.99771571296356332</v>
      </c>
      <c r="F149" s="1">
        <f t="shared" ref="F149:F180" si="16">($M$18-$M$14-($I$36*B149))/POWER(4*$S$36*B149,0.5)</f>
        <v>-7.3345961304333837E-2</v>
      </c>
      <c r="I149" s="1">
        <f t="shared" si="1"/>
        <v>1.0826138841915431</v>
      </c>
      <c r="L149" s="1">
        <f t="shared" ref="L149:L180" si="17">($M$18-(B149*$I$36))/POWER(4*$S$36*B149,0.5)</f>
        <v>15.850030486368144</v>
      </c>
      <c r="N149" s="1">
        <f t="shared" si="3"/>
        <v>2.7897781705032427E-111</v>
      </c>
      <c r="P149" s="1">
        <f t="shared" si="4"/>
        <v>0</v>
      </c>
      <c r="R149" s="1">
        <f t="shared" si="5"/>
        <v>2.586471035620496E-113</v>
      </c>
      <c r="U149" s="1">
        <f t="shared" ref="U149:U180" si="18">(2+$I$36/$C$42)*EXP(IF(($C$42*($C$42+$I$36)*B149+($C$42+$I$36)*$M$18)/$S$36&gt;225,225,($C$42*($C$42+$I$36)*B149+($C$42+$I$36)*$M$18)/$S$36))</f>
        <v>1.0406112877297279E+98</v>
      </c>
      <c r="Y149" s="1">
        <f t="shared" si="7"/>
        <v>0</v>
      </c>
      <c r="AB149" s="1">
        <f t="shared" si="8"/>
        <v>0</v>
      </c>
      <c r="AF149" s="1">
        <f t="shared" si="11"/>
        <v>0.54007044166520901</v>
      </c>
      <c r="AH149" s="1">
        <f t="shared" si="12"/>
        <v>54.007044166520899</v>
      </c>
      <c r="AJ149" s="1">
        <f t="shared" si="13"/>
        <v>161.53652293077036</v>
      </c>
      <c r="AL149" s="1">
        <f t="shared" si="14"/>
        <v>161.53652293077036</v>
      </c>
      <c r="AN149" s="1">
        <f t="shared" si="15"/>
        <v>0.16153652293077037</v>
      </c>
    </row>
    <row r="150" spans="2:44" x14ac:dyDescent="0.25">
      <c r="B150" s="1">
        <f t="shared" si="9"/>
        <v>340</v>
      </c>
      <c r="D150" s="1">
        <f t="shared" si="10"/>
        <v>0.99764657366035947</v>
      </c>
      <c r="F150" s="1">
        <f t="shared" si="16"/>
        <v>-7.4448969984598504E-2</v>
      </c>
      <c r="I150" s="1">
        <f t="shared" si="1"/>
        <v>1.0838517179858411</v>
      </c>
      <c r="L150" s="1">
        <f t="shared" si="17"/>
        <v>15.613012562484375</v>
      </c>
      <c r="N150" s="1">
        <f t="shared" si="3"/>
        <v>4.9062916221515603E-108</v>
      </c>
      <c r="P150" s="1">
        <f t="shared" si="4"/>
        <v>0</v>
      </c>
      <c r="R150" s="1">
        <f t="shared" si="5"/>
        <v>4.5474823413251558E-110</v>
      </c>
      <c r="U150" s="1">
        <f t="shared" si="18"/>
        <v>1.0406112877297279E+98</v>
      </c>
      <c r="Y150" s="1">
        <f t="shared" si="7"/>
        <v>0</v>
      </c>
      <c r="AB150" s="1">
        <f t="shared" si="8"/>
        <v>0</v>
      </c>
      <c r="AF150" s="1">
        <f t="shared" si="11"/>
        <v>0.54065047640223429</v>
      </c>
      <c r="AH150" s="1">
        <f t="shared" si="12"/>
        <v>54.065047640223426</v>
      </c>
      <c r="AJ150" s="1">
        <f t="shared" si="13"/>
        <v>161.71001288202419</v>
      </c>
      <c r="AL150" s="1">
        <f t="shared" si="14"/>
        <v>161.71001288202419</v>
      </c>
      <c r="AN150" s="1">
        <f t="shared" si="15"/>
        <v>0.16171001288202419</v>
      </c>
    </row>
    <row r="151" spans="2:44" x14ac:dyDescent="0.25">
      <c r="B151" s="1">
        <f t="shared" si="9"/>
        <v>350</v>
      </c>
      <c r="D151" s="1">
        <f t="shared" si="10"/>
        <v>0.99757743914834329</v>
      </c>
      <c r="F151" s="1">
        <f t="shared" si="16"/>
        <v>-7.5535873754650262E-2</v>
      </c>
      <c r="I151" s="1">
        <f t="shared" si="1"/>
        <v>1.0850712794678654</v>
      </c>
      <c r="L151" s="1">
        <f t="shared" si="17"/>
        <v>15.386195019289069</v>
      </c>
      <c r="N151" s="1">
        <f t="shared" si="3"/>
        <v>5.6322045706420241E-105</v>
      </c>
      <c r="P151" s="1">
        <f t="shared" si="4"/>
        <v>0</v>
      </c>
      <c r="R151" s="1">
        <f t="shared" si="5"/>
        <v>5.2188621633219859E-107</v>
      </c>
      <c r="U151" s="1">
        <f t="shared" si="18"/>
        <v>1.0406112877297279E+98</v>
      </c>
      <c r="Y151" s="1">
        <f t="shared" si="7"/>
        <v>0</v>
      </c>
      <c r="AB151" s="1">
        <f t="shared" si="8"/>
        <v>0</v>
      </c>
      <c r="AF151" s="1">
        <f t="shared" si="11"/>
        <v>0.54122131413248475</v>
      </c>
      <c r="AH151" s="1">
        <f t="shared" si="12"/>
        <v>54.122131413248475</v>
      </c>
      <c r="AJ151" s="1">
        <f t="shared" si="13"/>
        <v>161.880751983794</v>
      </c>
      <c r="AL151" s="1">
        <f t="shared" si="14"/>
        <v>161.880751983794</v>
      </c>
      <c r="AN151" s="1">
        <f t="shared" si="15"/>
        <v>0.16188075198379404</v>
      </c>
    </row>
    <row r="152" spans="2:44" x14ac:dyDescent="0.25">
      <c r="B152" s="1">
        <f t="shared" si="9"/>
        <v>360</v>
      </c>
      <c r="D152" s="1">
        <f t="shared" si="10"/>
        <v>0.99750830942718283</v>
      </c>
      <c r="F152" s="1">
        <f t="shared" si="16"/>
        <v>-7.6607358106054499E-2</v>
      </c>
      <c r="I152" s="1">
        <f t="shared" si="1"/>
        <v>1.0862733435934493</v>
      </c>
      <c r="L152" s="1">
        <f t="shared" si="17"/>
        <v>15.168864899904397</v>
      </c>
      <c r="N152" s="1">
        <f t="shared" si="3"/>
        <v>4.372985189090365E-102</v>
      </c>
      <c r="P152" s="1">
        <f t="shared" si="4"/>
        <v>0</v>
      </c>
      <c r="R152" s="1">
        <f t="shared" si="5"/>
        <v>4.0509341503474702E-104</v>
      </c>
      <c r="U152" s="1">
        <f t="shared" si="18"/>
        <v>1.0406112877297279E+98</v>
      </c>
      <c r="Y152" s="1">
        <f t="shared" si="7"/>
        <v>0</v>
      </c>
      <c r="AB152" s="1">
        <f t="shared" si="8"/>
        <v>0</v>
      </c>
      <c r="AF152" s="1">
        <f t="shared" si="11"/>
        <v>0.5417833432718574</v>
      </c>
      <c r="AH152" s="1">
        <f t="shared" si="12"/>
        <v>54.178334327185738</v>
      </c>
      <c r="AJ152" s="1">
        <f t="shared" si="13"/>
        <v>162.04885641232022</v>
      </c>
      <c r="AL152" s="1">
        <f t="shared" si="14"/>
        <v>162.04885641232022</v>
      </c>
      <c r="AN152" s="1">
        <f t="shared" si="15"/>
        <v>0.16204885641232025</v>
      </c>
    </row>
    <row r="153" spans="2:44" x14ac:dyDescent="0.25">
      <c r="B153" s="1">
        <f t="shared" si="9"/>
        <v>370</v>
      </c>
      <c r="D153" s="1">
        <f t="shared" si="10"/>
        <v>0.99743918449654612</v>
      </c>
      <c r="F153" s="1">
        <f t="shared" si="16"/>
        <v>-7.7664061238774312E-2</v>
      </c>
      <c r="I153" s="1">
        <f t="shared" si="1"/>
        <v>1.0874586318945567</v>
      </c>
      <c r="L153" s="1">
        <f t="shared" si="17"/>
        <v>14.960377140014247</v>
      </c>
      <c r="N153" s="1">
        <f t="shared" si="3"/>
        <v>2.3703751707789808E-99</v>
      </c>
      <c r="P153" s="1">
        <f t="shared" si="4"/>
        <v>0</v>
      </c>
      <c r="R153" s="1">
        <f t="shared" si="5"/>
        <v>2.19519985599192E-101</v>
      </c>
      <c r="U153" s="1">
        <f t="shared" si="18"/>
        <v>1.0406112877297279E+98</v>
      </c>
      <c r="Y153" s="1">
        <f t="shared" si="7"/>
        <v>0</v>
      </c>
      <c r="AB153" s="1">
        <f t="shared" si="8"/>
        <v>0</v>
      </c>
      <c r="AF153" s="1">
        <f t="shared" si="11"/>
        <v>0.5423369254853182</v>
      </c>
      <c r="AH153" s="1">
        <f t="shared" si="12"/>
        <v>54.23369254853182</v>
      </c>
      <c r="AJ153" s="1">
        <f t="shared" si="13"/>
        <v>162.21443434256773</v>
      </c>
      <c r="AL153" s="1">
        <f t="shared" si="14"/>
        <v>162.21443434256773</v>
      </c>
      <c r="AN153" s="1">
        <f t="shared" si="15"/>
        <v>0.16221443434256774</v>
      </c>
    </row>
    <row r="154" spans="2:44" x14ac:dyDescent="0.25">
      <c r="B154" s="1">
        <f t="shared" si="9"/>
        <v>380</v>
      </c>
      <c r="D154" s="1">
        <f t="shared" si="10"/>
        <v>0.99737006435610098</v>
      </c>
      <c r="F154" s="1">
        <f t="shared" si="16"/>
        <v>-7.8706578506570216E-2</v>
      </c>
      <c r="I154" s="1">
        <f t="shared" si="1"/>
        <v>1.0886278174995256</v>
      </c>
      <c r="L154" s="1">
        <f t="shared" si="17"/>
        <v>14.760146474517855</v>
      </c>
      <c r="N154" s="1">
        <f t="shared" si="3"/>
        <v>9.2280926009204084E-97</v>
      </c>
      <c r="P154" s="1">
        <f t="shared" si="4"/>
        <v>0</v>
      </c>
      <c r="R154" s="1">
        <f t="shared" si="5"/>
        <v>8.5437542308001861E-99</v>
      </c>
      <c r="U154" s="1">
        <f t="shared" si="18"/>
        <v>1.0406112877297279E+98</v>
      </c>
      <c r="Y154" s="1">
        <f t="shared" si="7"/>
        <v>0</v>
      </c>
      <c r="AB154" s="1">
        <f t="shared" si="8"/>
        <v>0</v>
      </c>
      <c r="AF154" s="1">
        <f t="shared" si="11"/>
        <v>0.54288239819967177</v>
      </c>
      <c r="AH154" s="1">
        <f t="shared" si="12"/>
        <v>54.288239819967174</v>
      </c>
      <c r="AJ154" s="1">
        <f t="shared" si="13"/>
        <v>162.37758669980209</v>
      </c>
      <c r="AL154" s="1">
        <f t="shared" si="14"/>
        <v>162.37758669980209</v>
      </c>
      <c r="AN154" s="1">
        <f t="shared" si="15"/>
        <v>0.1623775866998021</v>
      </c>
    </row>
    <row r="155" spans="2:44" x14ac:dyDescent="0.25">
      <c r="B155" s="1">
        <f t="shared" si="9"/>
        <v>390</v>
      </c>
      <c r="D155" s="1">
        <f t="shared" si="10"/>
        <v>0.99730094900551569</v>
      </c>
      <c r="F155" s="1">
        <f t="shared" si="16"/>
        <v>-7.9735466339149935E-2</v>
      </c>
      <c r="I155" s="1">
        <f t="shared" si="1"/>
        <v>1.0897815295625042</v>
      </c>
      <c r="L155" s="1">
        <f t="shared" si="17"/>
        <v>14.567640493032169</v>
      </c>
      <c r="N155" s="1">
        <f t="shared" si="3"/>
        <v>2.6467678885169477E-94</v>
      </c>
      <c r="P155" s="1">
        <f t="shared" si="4"/>
        <v>0</v>
      </c>
      <c r="R155" s="1">
        <f t="shared" si="5"/>
        <v>2.449810630494739E-96</v>
      </c>
      <c r="U155" s="1">
        <f t="shared" si="18"/>
        <v>1.0406112877297279E+98</v>
      </c>
      <c r="Y155" s="1">
        <f t="shared" si="7"/>
        <v>0</v>
      </c>
      <c r="AB155" s="1">
        <f t="shared" si="8"/>
        <v>0</v>
      </c>
      <c r="AF155" s="1">
        <f t="shared" si="11"/>
        <v>0.54342007682068394</v>
      </c>
      <c r="AH155" s="1">
        <f t="shared" si="12"/>
        <v>54.342007682068392</v>
      </c>
      <c r="AJ155" s="1">
        <f t="shared" si="13"/>
        <v>162.53840782273693</v>
      </c>
      <c r="AL155" s="1">
        <f t="shared" si="14"/>
        <v>162.53840782273693</v>
      </c>
      <c r="AN155" s="1">
        <f t="shared" si="15"/>
        <v>0.16253840782273696</v>
      </c>
    </row>
    <row r="156" spans="2:44" x14ac:dyDescent="0.25">
      <c r="B156" s="1">
        <f t="shared" si="9"/>
        <v>400</v>
      </c>
      <c r="D156" s="1">
        <f t="shared" si="10"/>
        <v>0.99723183844445817</v>
      </c>
      <c r="F156" s="1">
        <f t="shared" si="16"/>
        <v>-8.0751245714431708E-2</v>
      </c>
      <c r="I156" s="1">
        <f t="shared" si="1"/>
        <v>1.0909203571849033</v>
      </c>
      <c r="L156" s="1">
        <f t="shared" si="17"/>
        <v>14.382373656352536</v>
      </c>
      <c r="N156" s="1">
        <f t="shared" si="3"/>
        <v>5.7223838338623427E-92</v>
      </c>
      <c r="P156" s="1">
        <f t="shared" si="4"/>
        <v>0</v>
      </c>
      <c r="R156" s="1">
        <f t="shared" si="5"/>
        <v>5.295092187405857E-94</v>
      </c>
      <c r="U156" s="1">
        <f t="shared" si="18"/>
        <v>1.0406112877297279E+98</v>
      </c>
      <c r="Y156" s="1">
        <f t="shared" si="7"/>
        <v>0</v>
      </c>
      <c r="AB156" s="1">
        <f t="shared" si="8"/>
        <v>0</v>
      </c>
      <c r="AF156" s="1">
        <f t="shared" si="11"/>
        <v>0.54395025669599306</v>
      </c>
      <c r="AH156" s="1">
        <f t="shared" si="12"/>
        <v>54.395025669599306</v>
      </c>
      <c r="AJ156" s="1">
        <f t="shared" si="13"/>
        <v>162.69698605064596</v>
      </c>
      <c r="AL156" s="1">
        <f t="shared" si="14"/>
        <v>162.69698605064596</v>
      </c>
      <c r="AN156" s="1">
        <f t="shared" si="15"/>
        <v>0.16269698605064595</v>
      </c>
    </row>
    <row r="157" spans="2:44" x14ac:dyDescent="0.25">
      <c r="B157" s="1">
        <f t="shared" si="9"/>
        <v>410</v>
      </c>
      <c r="D157" s="1">
        <f t="shared" si="10"/>
        <v>0.99716273267259659</v>
      </c>
      <c r="F157" s="1">
        <f t="shared" si="16"/>
        <v>-8.1754405242429246E-2</v>
      </c>
      <c r="I157" s="1">
        <f t="shared" si="1"/>
        <v>1.0920448528983107</v>
      </c>
      <c r="L157" s="1">
        <f t="shared" si="17"/>
        <v>14.203902120568815</v>
      </c>
      <c r="N157" s="1">
        <f t="shared" si="3"/>
        <v>9.5207927536579072E-90</v>
      </c>
      <c r="P157" s="1">
        <f t="shared" si="4"/>
        <v>0</v>
      </c>
      <c r="R157" s="1">
        <f t="shared" si="5"/>
        <v>8.80743734728796E-92</v>
      </c>
      <c r="U157" s="1">
        <f t="shared" si="18"/>
        <v>1.0406112877297279E+98</v>
      </c>
      <c r="Y157" s="1">
        <f t="shared" si="7"/>
        <v>0</v>
      </c>
      <c r="AB157" s="1">
        <f t="shared" si="8"/>
        <v>0</v>
      </c>
      <c r="AF157" s="1">
        <f t="shared" si="11"/>
        <v>0.54447321485856159</v>
      </c>
      <c r="AH157" s="1">
        <f t="shared" si="12"/>
        <v>54.447321485856158</v>
      </c>
      <c r="AJ157" s="1">
        <f t="shared" si="13"/>
        <v>162.85340424483394</v>
      </c>
      <c r="AL157" s="1">
        <f t="shared" si="14"/>
        <v>162.85340424483394</v>
      </c>
      <c r="AN157" s="1">
        <f t="shared" si="15"/>
        <v>0.16285340424483397</v>
      </c>
    </row>
    <row r="158" spans="2:44" x14ac:dyDescent="0.25">
      <c r="B158" s="1">
        <f t="shared" si="9"/>
        <v>420</v>
      </c>
      <c r="D158" s="1">
        <f t="shared" si="10"/>
        <v>0.99709363168959908</v>
      </c>
      <c r="F158" s="1">
        <f t="shared" si="16"/>
        <v>-8.274540391256878E-2</v>
      </c>
      <c r="I158" s="1">
        <f t="shared" si="1"/>
        <v>1.093155535767359</v>
      </c>
      <c r="L158" s="1">
        <f t="shared" si="17"/>
        <v>14.031819243078333</v>
      </c>
      <c r="N158" s="1">
        <f t="shared" si="3"/>
        <v>1.2420158973938434E-87</v>
      </c>
      <c r="P158" s="1">
        <f t="shared" si="4"/>
        <v>0</v>
      </c>
      <c r="R158" s="1">
        <f t="shared" si="5"/>
        <v>1.1486389623827637E-89</v>
      </c>
      <c r="U158" s="1">
        <f t="shared" si="18"/>
        <v>1.0406112877297279E+98</v>
      </c>
      <c r="Y158" s="1">
        <f t="shared" si="7"/>
        <v>0</v>
      </c>
      <c r="AB158" s="1">
        <f t="shared" si="8"/>
        <v>0</v>
      </c>
      <c r="AF158" s="1">
        <f t="shared" si="11"/>
        <v>0.54498921157993274</v>
      </c>
      <c r="AH158" s="1">
        <f t="shared" si="12"/>
        <v>54.498921157993273</v>
      </c>
      <c r="AJ158" s="1">
        <f t="shared" si="13"/>
        <v>163.00774025322013</v>
      </c>
      <c r="AL158" s="1">
        <f t="shared" si="14"/>
        <v>163.00774025322013</v>
      </c>
      <c r="AN158" s="1">
        <f t="shared" si="15"/>
        <v>0.16300774025322015</v>
      </c>
    </row>
    <row r="159" spans="2:44" x14ac:dyDescent="0.25">
      <c r="B159" s="1">
        <f t="shared" si="9"/>
        <v>430</v>
      </c>
      <c r="D159" s="1">
        <f t="shared" si="10"/>
        <v>0.99702453549513381</v>
      </c>
      <c r="F159" s="1">
        <f t="shared" si="16"/>
        <v>-8.3724673548273496E-2</v>
      </c>
      <c r="I159" s="1">
        <f t="shared" si="1"/>
        <v>1.0942528941620431</v>
      </c>
      <c r="L159" s="1">
        <f t="shared" si="17"/>
        <v>13.865751666803607</v>
      </c>
      <c r="N159" s="1">
        <f t="shared" si="3"/>
        <v>1.2921310385636763E-85</v>
      </c>
      <c r="P159" s="1">
        <f t="shared" si="4"/>
        <v>0</v>
      </c>
      <c r="R159" s="1">
        <f t="shared" si="5"/>
        <v>1.1946561241324125E-87</v>
      </c>
      <c r="U159" s="1">
        <f t="shared" si="18"/>
        <v>1.0406112877297279E+98</v>
      </c>
      <c r="Y159" s="1">
        <f t="shared" si="7"/>
        <v>0</v>
      </c>
      <c r="AB159" s="1">
        <f t="shared" si="8"/>
        <v>0</v>
      </c>
      <c r="AF159" s="1">
        <f t="shared" si="11"/>
        <v>0.54549849175805842</v>
      </c>
      <c r="AH159" s="1">
        <f t="shared" si="12"/>
        <v>54.549849175805839</v>
      </c>
      <c r="AJ159" s="1">
        <f t="shared" si="13"/>
        <v>163.16006732544116</v>
      </c>
      <c r="AL159" s="1">
        <f t="shared" si="14"/>
        <v>163.16006732544116</v>
      </c>
      <c r="AN159" s="1">
        <f t="shared" si="15"/>
        <v>0.16316006732544119</v>
      </c>
    </row>
    <row r="160" spans="2:44" x14ac:dyDescent="0.25">
      <c r="B160" s="1">
        <f t="shared" si="9"/>
        <v>440</v>
      </c>
      <c r="D160" s="1">
        <f t="shared" si="10"/>
        <v>0.99695544408886894</v>
      </c>
      <c r="F160" s="1">
        <f t="shared" si="16"/>
        <v>-8.4692621006058025E-2</v>
      </c>
      <c r="I160" s="1">
        <f t="shared" si="1"/>
        <v>1.0953373882415327</v>
      </c>
      <c r="L160" s="1">
        <f t="shared" si="17"/>
        <v>13.705355896701116</v>
      </c>
      <c r="N160" s="1">
        <f t="shared" si="3"/>
        <v>1.0887022851114705E-83</v>
      </c>
      <c r="P160" s="1">
        <f t="shared" si="4"/>
        <v>0</v>
      </c>
      <c r="R160" s="1">
        <f t="shared" si="5"/>
        <v>1.0062953895696221E-85</v>
      </c>
      <c r="U160" s="1">
        <f t="shared" si="18"/>
        <v>1.0406112877297279E+98</v>
      </c>
      <c r="Y160" s="1">
        <f t="shared" si="7"/>
        <v>0</v>
      </c>
      <c r="AB160" s="1">
        <f t="shared" si="8"/>
        <v>0</v>
      </c>
      <c r="AF160" s="1">
        <f t="shared" si="11"/>
        <v>0.54600128616073951</v>
      </c>
      <c r="AH160" s="1">
        <f t="shared" si="12"/>
        <v>54.600128616073953</v>
      </c>
      <c r="AJ160" s="1">
        <f t="shared" si="13"/>
        <v>163.31045448476752</v>
      </c>
      <c r="AL160" s="1">
        <f t="shared" si="14"/>
        <v>163.31045448476752</v>
      </c>
      <c r="AN160" s="1">
        <f t="shared" si="15"/>
        <v>0.16331045448476753</v>
      </c>
    </row>
    <row r="161" spans="2:40" x14ac:dyDescent="0.25">
      <c r="B161" s="1">
        <f t="shared" si="9"/>
        <v>450</v>
      </c>
      <c r="D161" s="1">
        <f t="shared" si="10"/>
        <v>0.9968863574704725</v>
      </c>
      <c r="F161" s="1">
        <f t="shared" si="16"/>
        <v>-8.5649630150903711E-2</v>
      </c>
      <c r="I161" s="1">
        <f t="shared" si="1"/>
        <v>1.0964094521853529</v>
      </c>
      <c r="L161" s="1">
        <f t="shared" si="17"/>
        <v>13.550315297048529</v>
      </c>
      <c r="N161" s="1">
        <f t="shared" si="3"/>
        <v>7.5342053379058522E-82</v>
      </c>
      <c r="P161" s="1">
        <f t="shared" si="4"/>
        <v>0</v>
      </c>
      <c r="R161" s="1">
        <f t="shared" si="5"/>
        <v>6.9619968440075512E-84</v>
      </c>
      <c r="U161" s="1">
        <f t="shared" si="18"/>
        <v>1.0406112877297279E+98</v>
      </c>
      <c r="Y161" s="1">
        <f t="shared" si="7"/>
        <v>0</v>
      </c>
      <c r="AB161" s="1">
        <f t="shared" si="8"/>
        <v>0</v>
      </c>
      <c r="AF161" s="1">
        <f t="shared" si="11"/>
        <v>0.5464978125426263</v>
      </c>
      <c r="AH161" s="1">
        <f t="shared" si="12"/>
        <v>54.649781254262628</v>
      </c>
      <c r="AJ161" s="1">
        <f t="shared" si="13"/>
        <v>163.45896686220127</v>
      </c>
      <c r="AL161" s="1">
        <f t="shared" si="14"/>
        <v>163.45896686220127</v>
      </c>
      <c r="AN161" s="1">
        <f t="shared" si="15"/>
        <v>0.16345896686220127</v>
      </c>
    </row>
    <row r="162" spans="2:40" x14ac:dyDescent="0.25">
      <c r="B162" s="1">
        <f t="shared" si="9"/>
        <v>460</v>
      </c>
      <c r="D162" s="1">
        <f t="shared" si="10"/>
        <v>0.99681727563961287</v>
      </c>
      <c r="F162" s="1">
        <f t="shared" si="16"/>
        <v>-8.6596063635118015E-2</v>
      </c>
      <c r="I162" s="1">
        <f t="shared" si="1"/>
        <v>1.0974694962026486</v>
      </c>
      <c r="L162" s="1">
        <f t="shared" si="17"/>
        <v>13.400337449722549</v>
      </c>
      <c r="N162" s="1">
        <f t="shared" si="3"/>
        <v>4.3377401865168382E-80</v>
      </c>
      <c r="P162" s="1">
        <f t="shared" si="4"/>
        <v>0</v>
      </c>
      <c r="R162" s="1">
        <f t="shared" si="5"/>
        <v>4.0071901820199768E-82</v>
      </c>
      <c r="U162" s="1">
        <f t="shared" si="18"/>
        <v>1.0406112877297279E+98</v>
      </c>
      <c r="Y162" s="1">
        <f t="shared" si="7"/>
        <v>0</v>
      </c>
      <c r="AB162" s="1">
        <f t="shared" si="8"/>
        <v>0</v>
      </c>
      <c r="AF162" s="1">
        <f t="shared" si="11"/>
        <v>0.54698827665115124</v>
      </c>
      <c r="AH162" s="1">
        <f t="shared" si="12"/>
        <v>54.698827665115125</v>
      </c>
      <c r="AJ162" s="1">
        <f t="shared" si="13"/>
        <v>163.60566599735327</v>
      </c>
      <c r="AL162" s="1">
        <f t="shared" si="14"/>
        <v>163.60566599735327</v>
      </c>
      <c r="AN162" s="1">
        <f t="shared" si="15"/>
        <v>0.16360566599735329</v>
      </c>
    </row>
    <row r="163" spans="2:40" x14ac:dyDescent="0.25">
      <c r="B163" s="1">
        <f t="shared" si="9"/>
        <v>470</v>
      </c>
      <c r="D163" s="1">
        <f t="shared" si="10"/>
        <v>0.99674819859595831</v>
      </c>
      <c r="F163" s="1">
        <f t="shared" si="16"/>
        <v>-8.7532264504057128E-2</v>
      </c>
      <c r="I163" s="1">
        <f t="shared" si="1"/>
        <v>1.0985179083459269</v>
      </c>
      <c r="L163" s="1">
        <f t="shared" si="17"/>
        <v>13.255151823272435</v>
      </c>
      <c r="N163" s="1">
        <f t="shared" si="3"/>
        <v>2.1022545228916848E-78</v>
      </c>
      <c r="P163" s="1">
        <f t="shared" si="4"/>
        <v>0</v>
      </c>
      <c r="R163" s="1">
        <f t="shared" si="5"/>
        <v>1.9415196517781458E-80</v>
      </c>
      <c r="U163" s="1">
        <f t="shared" si="18"/>
        <v>1.0406112877297279E+98</v>
      </c>
      <c r="Y163" s="1">
        <f t="shared" si="7"/>
        <v>0</v>
      </c>
      <c r="AB163" s="1">
        <f t="shared" si="8"/>
        <v>0</v>
      </c>
      <c r="AF163" s="1">
        <f t="shared" si="11"/>
        <v>0.54747287313460136</v>
      </c>
      <c r="AH163" s="1">
        <f t="shared" si="12"/>
        <v>54.747287313460134</v>
      </c>
      <c r="AJ163" s="1">
        <f t="shared" si="13"/>
        <v>163.75061011005022</v>
      </c>
      <c r="AL163" s="1">
        <f t="shared" si="14"/>
        <v>163.75061011005022</v>
      </c>
      <c r="AN163" s="1">
        <f t="shared" si="15"/>
        <v>0.16375061011005024</v>
      </c>
    </row>
    <row r="164" spans="2:40" x14ac:dyDescent="0.25">
      <c r="B164" s="1">
        <f t="shared" si="9"/>
        <v>480</v>
      </c>
      <c r="D164" s="1">
        <f t="shared" si="10"/>
        <v>0.99667912633917688</v>
      </c>
      <c r="F164" s="1">
        <f t="shared" si="16"/>
        <v>-8.845855764887324E-2</v>
      </c>
      <c r="I164" s="1">
        <f t="shared" si="1"/>
        <v>1.0995550561520482</v>
      </c>
      <c r="L164" s="1">
        <f t="shared" si="17"/>
        <v>13.114507710479085</v>
      </c>
      <c r="N164" s="1">
        <f t="shared" si="3"/>
        <v>8.6691378431302143E-77</v>
      </c>
      <c r="P164" s="1">
        <f t="shared" si="4"/>
        <v>2.9768184056192549E-307</v>
      </c>
      <c r="R164" s="1">
        <f t="shared" si="5"/>
        <v>8.0041000369342369E-79</v>
      </c>
      <c r="U164" s="1">
        <f t="shared" si="18"/>
        <v>1.0406112877297279E+98</v>
      </c>
      <c r="Y164" s="1">
        <f t="shared" si="7"/>
        <v>0</v>
      </c>
      <c r="AB164" s="1">
        <f t="shared" si="8"/>
        <v>0</v>
      </c>
      <c r="AF164" s="1">
        <f t="shared" si="11"/>
        <v>0.54795178636372399</v>
      </c>
      <c r="AH164" s="1">
        <f t="shared" si="12"/>
        <v>54.795178636372398</v>
      </c>
      <c r="AJ164" s="1">
        <f t="shared" si="13"/>
        <v>163.89385434607894</v>
      </c>
      <c r="AL164" s="1">
        <f t="shared" si="14"/>
        <v>163.89385434607894</v>
      </c>
      <c r="AN164" s="1">
        <f t="shared" si="15"/>
        <v>0.16389385434607895</v>
      </c>
    </row>
    <row r="165" spans="2:40" x14ac:dyDescent="0.25">
      <c r="B165" s="1">
        <f t="shared" si="9"/>
        <v>490</v>
      </c>
      <c r="D165" s="1">
        <f t="shared" si="10"/>
        <v>0.99661005886893705</v>
      </c>
      <c r="F165" s="1">
        <f t="shared" si="16"/>
        <v>-8.9375251123730251E-2</v>
      </c>
      <c r="I165" s="1">
        <f t="shared" si="1"/>
        <v>1.1005812881301547</v>
      </c>
      <c r="L165" s="1">
        <f t="shared" si="17"/>
        <v>12.978172398599513</v>
      </c>
      <c r="N165" s="1">
        <f t="shared" si="3"/>
        <v>3.072042034525126E-75</v>
      </c>
      <c r="P165" s="1">
        <f t="shared" si="4"/>
        <v>4.5515767204237644E-301</v>
      </c>
      <c r="R165" s="1">
        <f t="shared" si="5"/>
        <v>2.8355929308257408E-77</v>
      </c>
      <c r="U165" s="1">
        <f t="shared" si="18"/>
        <v>1.0406112877297279E+98</v>
      </c>
      <c r="Y165" s="1">
        <f t="shared" si="7"/>
        <v>0</v>
      </c>
      <c r="AB165" s="1">
        <f t="shared" si="8"/>
        <v>0</v>
      </c>
      <c r="AF165" s="1">
        <f t="shared" si="11"/>
        <v>0.54842519117672195</v>
      </c>
      <c r="AH165" s="1">
        <f t="shared" si="12"/>
        <v>54.842519117672197</v>
      </c>
      <c r="AJ165" s="1">
        <f t="shared" si="13"/>
        <v>164.03545100001651</v>
      </c>
      <c r="AL165" s="1">
        <f t="shared" si="14"/>
        <v>164.03545100001651</v>
      </c>
      <c r="AN165" s="1">
        <f t="shared" si="15"/>
        <v>0.16403545100001651</v>
      </c>
    </row>
    <row r="166" spans="2:40" x14ac:dyDescent="0.25">
      <c r="B166" s="1">
        <f t="shared" si="9"/>
        <v>500</v>
      </c>
      <c r="D166" s="1">
        <f t="shared" si="10"/>
        <v>0.9965409961849071</v>
      </c>
      <c r="F166" s="1">
        <f t="shared" si="16"/>
        <v>-9.0282637342628952E-2</v>
      </c>
      <c r="I166" s="1">
        <f t="shared" si="1"/>
        <v>1.1015969351136408</v>
      </c>
      <c r="L166" s="1">
        <f t="shared" si="17"/>
        <v>12.845929541894064</v>
      </c>
      <c r="N166" s="1">
        <f t="shared" si="3"/>
        <v>9.4403380616617119E-74</v>
      </c>
      <c r="P166" s="1">
        <f t="shared" si="4"/>
        <v>3.9380330661744446E-295</v>
      </c>
      <c r="R166" s="1">
        <f t="shared" si="5"/>
        <v>8.7113294259756297E-76</v>
      </c>
      <c r="U166" s="1">
        <f t="shared" si="18"/>
        <v>1.0406112877297279E+98</v>
      </c>
      <c r="Y166" s="1">
        <f t="shared" si="7"/>
        <v>0</v>
      </c>
      <c r="AB166" s="1">
        <f t="shared" si="8"/>
        <v>0</v>
      </c>
      <c r="AF166" s="1">
        <f t="shared" si="11"/>
        <v>0.54889325355619401</v>
      </c>
      <c r="AH166" s="1">
        <f t="shared" si="12"/>
        <v>54.889325355619398</v>
      </c>
      <c r="AJ166" s="1">
        <f t="shared" si="13"/>
        <v>164.17544971770505</v>
      </c>
      <c r="AL166" s="1">
        <f t="shared" si="14"/>
        <v>164.17544971770505</v>
      </c>
      <c r="AN166" s="1">
        <f t="shared" si="15"/>
        <v>0.16417544971770506</v>
      </c>
    </row>
    <row r="167" spans="2:40" x14ac:dyDescent="0.25">
      <c r="B167" s="1">
        <f t="shared" si="9"/>
        <v>510</v>
      </c>
      <c r="D167" s="1">
        <f t="shared" si="10"/>
        <v>0.99647193828675529</v>
      </c>
      <c r="F167" s="1">
        <f t="shared" si="16"/>
        <v>-9.1180994169023352E-2</v>
      </c>
      <c r="I167" s="1">
        <f t="shared" si="1"/>
        <v>1.1026023114910433</v>
      </c>
      <c r="L167" s="1">
        <f t="shared" si="17"/>
        <v>12.717577710527117</v>
      </c>
      <c r="N167" s="1">
        <f t="shared" si="3"/>
        <v>2.5368570029601058E-72</v>
      </c>
      <c r="P167" s="1">
        <f t="shared" si="4"/>
        <v>1.9936534439863213E-289</v>
      </c>
      <c r="R167" s="1">
        <f t="shared" si="5"/>
        <v>2.3403082572009685E-74</v>
      </c>
      <c r="U167" s="1">
        <f t="shared" si="18"/>
        <v>1.0406112877297279E+98</v>
      </c>
      <c r="Y167" s="1">
        <f t="shared" si="7"/>
        <v>0</v>
      </c>
      <c r="AB167" s="1">
        <f t="shared" si="8"/>
        <v>0</v>
      </c>
      <c r="AF167" s="1">
        <f t="shared" si="11"/>
        <v>0.54935613124546834</v>
      </c>
      <c r="AH167" s="1">
        <f t="shared" si="12"/>
        <v>54.935613124546833</v>
      </c>
      <c r="AJ167" s="1">
        <f t="shared" si="13"/>
        <v>164.31389768059867</v>
      </c>
      <c r="AL167" s="1">
        <f t="shared" si="14"/>
        <v>164.31389768059867</v>
      </c>
      <c r="AN167" s="1">
        <f t="shared" si="15"/>
        <v>0.16431389768059868</v>
      </c>
    </row>
    <row r="168" spans="2:40" x14ac:dyDescent="0.25">
      <c r="B168" s="1">
        <f t="shared" si="9"/>
        <v>520</v>
      </c>
      <c r="D168" s="1">
        <f t="shared" si="10"/>
        <v>0.99640288517414999</v>
      </c>
      <c r="F168" s="1">
        <f t="shared" si="16"/>
        <v>-9.2070585909737129E-2</v>
      </c>
      <c r="I168" s="1">
        <f t="shared" si="1"/>
        <v>1.103597716328852</v>
      </c>
      <c r="L168" s="1">
        <f t="shared" si="17"/>
        <v>12.592929093687291</v>
      </c>
      <c r="N168" s="1">
        <f t="shared" si="3"/>
        <v>6.0077455188430885E-71</v>
      </c>
      <c r="P168" s="1">
        <f t="shared" si="4"/>
        <v>6.0911441647283165E-284</v>
      </c>
      <c r="R168" s="1">
        <f t="shared" si="5"/>
        <v>5.540753375325772E-73</v>
      </c>
      <c r="U168" s="1">
        <f t="shared" si="18"/>
        <v>1.0406112877297279E+98</v>
      </c>
      <c r="Y168" s="1">
        <f t="shared" si="7"/>
        <v>0</v>
      </c>
      <c r="AB168" s="1">
        <f t="shared" si="8"/>
        <v>0</v>
      </c>
      <c r="AF168" s="1">
        <f t="shared" si="11"/>
        <v>0.54981397431083556</v>
      </c>
      <c r="AH168" s="1">
        <f t="shared" si="12"/>
        <v>54.981397431083558</v>
      </c>
      <c r="AJ168" s="1">
        <f t="shared" si="13"/>
        <v>164.45083977392886</v>
      </c>
      <c r="AL168" s="1">
        <f t="shared" si="14"/>
        <v>164.45083977392886</v>
      </c>
      <c r="AN168" s="1">
        <f t="shared" si="15"/>
        <v>0.16445083977392885</v>
      </c>
    </row>
    <row r="169" spans="2:40" x14ac:dyDescent="0.25">
      <c r="B169" s="1">
        <f t="shared" si="9"/>
        <v>530</v>
      </c>
      <c r="D169" s="1">
        <f t="shared" si="10"/>
        <v>0.99633383684675969</v>
      </c>
      <c r="F169" s="1">
        <f t="shared" si="16"/>
        <v>-9.2951664223256916E-2</v>
      </c>
      <c r="I169" s="1">
        <f t="shared" si="1"/>
        <v>1.1045834343976151</v>
      </c>
      <c r="L169" s="1">
        <f t="shared" si="17"/>
        <v>12.471808337923198</v>
      </c>
      <c r="N169" s="1">
        <f t="shared" si="3"/>
        <v>1.2628151062976605E-69</v>
      </c>
      <c r="P169" s="1">
        <f t="shared" si="4"/>
        <v>1.1556859906684183E-278</v>
      </c>
      <c r="R169" s="1">
        <f t="shared" si="5"/>
        <v>1.1643332550450484E-71</v>
      </c>
      <c r="U169" s="1">
        <f t="shared" si="18"/>
        <v>1.0406112877297279E+98</v>
      </c>
      <c r="Y169" s="1">
        <f t="shared" si="7"/>
        <v>0</v>
      </c>
      <c r="AB169" s="1">
        <f t="shared" si="8"/>
        <v>0</v>
      </c>
      <c r="AF169" s="1">
        <f t="shared" si="11"/>
        <v>0.5502669256553735</v>
      </c>
      <c r="AH169" s="1">
        <f t="shared" si="12"/>
        <v>55.026692565537353</v>
      </c>
      <c r="AJ169" s="1">
        <f t="shared" si="13"/>
        <v>164.58631874039085</v>
      </c>
      <c r="AL169" s="1">
        <f t="shared" si="14"/>
        <v>164.58631874039085</v>
      </c>
      <c r="AN169" s="1">
        <f t="shared" si="15"/>
        <v>0.16458631874039087</v>
      </c>
    </row>
    <row r="170" spans="2:40" x14ac:dyDescent="0.25">
      <c r="B170" s="1">
        <f t="shared" si="9"/>
        <v>540</v>
      </c>
      <c r="D170" s="1">
        <f t="shared" si="10"/>
        <v>0.99626479330425255</v>
      </c>
      <c r="F170" s="1">
        <f t="shared" si="16"/>
        <v>-9.3824468951249129E-2</v>
      </c>
      <c r="I170" s="1">
        <f t="shared" si="1"/>
        <v>1.1055597371113342</v>
      </c>
      <c r="L170" s="1">
        <f t="shared" si="17"/>
        <v>12.354051504342783</v>
      </c>
      <c r="N170" s="1">
        <f t="shared" si="3"/>
        <v>2.3716812573567124E-68</v>
      </c>
      <c r="P170" s="1">
        <f t="shared" si="4"/>
        <v>1.398189451432449E-273</v>
      </c>
      <c r="R170" s="1">
        <f t="shared" si="5"/>
        <v>2.1861206366757047E-70</v>
      </c>
      <c r="U170" s="1">
        <f t="shared" si="18"/>
        <v>1.0406112877297279E+98</v>
      </c>
      <c r="Y170" s="1">
        <f t="shared" si="7"/>
        <v>0</v>
      </c>
      <c r="AB170" s="1">
        <f t="shared" si="8"/>
        <v>0</v>
      </c>
      <c r="AF170" s="1">
        <f t="shared" si="11"/>
        <v>0.55071512148936352</v>
      </c>
      <c r="AH170" s="1">
        <f t="shared" si="12"/>
        <v>55.07151214893635</v>
      </c>
      <c r="AJ170" s="1">
        <f t="shared" si="13"/>
        <v>164.72037532084647</v>
      </c>
      <c r="AL170" s="1">
        <f t="shared" si="14"/>
        <v>164.72037532084647</v>
      </c>
      <c r="AN170" s="1">
        <f t="shared" si="15"/>
        <v>0.16472037532084649</v>
      </c>
    </row>
    <row r="171" spans="2:40" x14ac:dyDescent="0.25">
      <c r="B171" s="1">
        <f t="shared" si="9"/>
        <v>550</v>
      </c>
      <c r="D171" s="1">
        <f t="shared" si="10"/>
        <v>0.99619575454629716</v>
      </c>
      <c r="F171" s="1">
        <f t="shared" si="16"/>
        <v>-9.468922888108619E-2</v>
      </c>
      <c r="I171" s="1">
        <f t="shared" si="1"/>
        <v>1.1065268833889357</v>
      </c>
      <c r="L171" s="1">
        <f t="shared" si="17"/>
        <v>12.239505130564298</v>
      </c>
      <c r="N171" s="1">
        <f t="shared" si="3"/>
        <v>4.0043102414900152E-67</v>
      </c>
      <c r="P171" s="1">
        <f t="shared" si="4"/>
        <v>1.1054395678410369E-268</v>
      </c>
      <c r="R171" s="1">
        <f t="shared" si="5"/>
        <v>3.6899953332694606E-69</v>
      </c>
      <c r="U171" s="1">
        <f t="shared" si="18"/>
        <v>1.0406112877297279E+98</v>
      </c>
      <c r="Y171" s="1">
        <f t="shared" si="7"/>
        <v>0</v>
      </c>
      <c r="AB171" s="1">
        <f t="shared" si="8"/>
        <v>0</v>
      </c>
      <c r="AF171" s="1">
        <f t="shared" si="11"/>
        <v>0.55115869176170162</v>
      </c>
      <c r="AH171" s="1">
        <f t="shared" si="12"/>
        <v>55.115869176170165</v>
      </c>
      <c r="AJ171" s="1">
        <f t="shared" si="13"/>
        <v>164.85304838336037</v>
      </c>
      <c r="AL171" s="1">
        <f t="shared" si="14"/>
        <v>164.85304838336037</v>
      </c>
      <c r="AN171" s="1">
        <f t="shared" si="15"/>
        <v>0.16485304838336037</v>
      </c>
    </row>
    <row r="172" spans="2:40" x14ac:dyDescent="0.25">
      <c r="B172" s="1">
        <f t="shared" si="9"/>
        <v>560</v>
      </c>
      <c r="D172" s="1">
        <f t="shared" si="10"/>
        <v>0.99612672057256191</v>
      </c>
      <c r="F172" s="1">
        <f t="shared" si="16"/>
        <v>-9.5546162446251803E-2</v>
      </c>
      <c r="I172" s="1">
        <f t="shared" si="1"/>
        <v>1.1074851204455809</v>
      </c>
      <c r="L172" s="1">
        <f t="shared" si="17"/>
        <v>12.128025385205607</v>
      </c>
      <c r="N172" s="1">
        <f t="shared" si="3"/>
        <v>6.112657621000408E-66</v>
      </c>
      <c r="P172" s="1">
        <f t="shared" si="4"/>
        <v>5.8430984324908878E-264</v>
      </c>
      <c r="R172" s="1">
        <f t="shared" si="5"/>
        <v>5.6312977897726944E-68</v>
      </c>
      <c r="U172" s="1">
        <f t="shared" si="18"/>
        <v>1.0406112877297279E+98</v>
      </c>
      <c r="Y172" s="1">
        <f t="shared" si="7"/>
        <v>0</v>
      </c>
      <c r="AB172" s="1">
        <f t="shared" si="8"/>
        <v>0</v>
      </c>
      <c r="AF172" s="1">
        <f t="shared" si="11"/>
        <v>0.55159776055618259</v>
      </c>
      <c r="AH172" s="1">
        <f t="shared" si="12"/>
        <v>55.159776055618259</v>
      </c>
      <c r="AJ172" s="1">
        <f t="shared" si="13"/>
        <v>164.98437504172955</v>
      </c>
      <c r="AL172" s="1">
        <f t="shared" si="14"/>
        <v>164.98437504172955</v>
      </c>
      <c r="AN172" s="1">
        <f t="shared" si="15"/>
        <v>0.16498437504172958</v>
      </c>
    </row>
    <row r="173" spans="2:40" x14ac:dyDescent="0.25">
      <c r="B173" s="1">
        <f t="shared" si="9"/>
        <v>570</v>
      </c>
      <c r="D173" s="1">
        <f t="shared" si="10"/>
        <v>0.99605769138271527</v>
      </c>
      <c r="F173" s="1">
        <f t="shared" si="16"/>
        <v>-9.6395478370701337E-2</v>
      </c>
      <c r="I173" s="1">
        <f t="shared" si="1"/>
        <v>1.1084346845206741</v>
      </c>
      <c r="L173" s="1">
        <f t="shared" si="17"/>
        <v>12.019477304312691</v>
      </c>
      <c r="N173" s="1">
        <f t="shared" si="3"/>
        <v>8.4813654680120806E-65</v>
      </c>
      <c r="P173" s="1">
        <f t="shared" si="4"/>
        <v>2.1090776744720678E-259</v>
      </c>
      <c r="R173" s="1">
        <f t="shared" si="5"/>
        <v>7.8113222010894832E-67</v>
      </c>
      <c r="U173" s="1">
        <f t="shared" si="18"/>
        <v>1.0406112877297279E+98</v>
      </c>
      <c r="Y173" s="1">
        <f t="shared" si="7"/>
        <v>0</v>
      </c>
      <c r="AB173" s="1">
        <f t="shared" si="8"/>
        <v>0</v>
      </c>
      <c r="AF173" s="1">
        <f t="shared" si="11"/>
        <v>0.5520324464560955</v>
      </c>
      <c r="AH173" s="1">
        <f t="shared" si="12"/>
        <v>55.203244645609551</v>
      </c>
      <c r="AJ173" s="1">
        <f t="shared" si="13"/>
        <v>165.11439076453502</v>
      </c>
      <c r="AL173" s="1">
        <f t="shared" si="14"/>
        <v>165.11439076453502</v>
      </c>
      <c r="AN173" s="1">
        <f t="shared" si="15"/>
        <v>0.16511439076453502</v>
      </c>
    </row>
    <row r="174" spans="2:40" x14ac:dyDescent="0.25">
      <c r="B174" s="1">
        <f t="shared" si="9"/>
        <v>580</v>
      </c>
      <c r="D174" s="1">
        <f t="shared" si="10"/>
        <v>0.99598866697642574</v>
      </c>
      <c r="F174" s="1">
        <f t="shared" si="16"/>
        <v>-9.7237376262562555E-2</v>
      </c>
      <c r="I174" s="1">
        <f t="shared" si="1"/>
        <v>1.1093758015486479</v>
      </c>
      <c r="L174" s="1">
        <f t="shared" si="17"/>
        <v>11.91373410050471</v>
      </c>
      <c r="N174" s="1">
        <f t="shared" si="3"/>
        <v>1.0749258115156395E-63</v>
      </c>
      <c r="P174" s="1">
        <f t="shared" si="4"/>
        <v>5.302131672126974E-255</v>
      </c>
      <c r="R174" s="1">
        <f t="shared" si="5"/>
        <v>9.8973207348787124E-66</v>
      </c>
      <c r="U174" s="1">
        <f t="shared" si="18"/>
        <v>1.0406112877297279E+98</v>
      </c>
      <c r="Y174" s="1">
        <f t="shared" si="7"/>
        <v>0</v>
      </c>
      <c r="AB174" s="1">
        <f t="shared" si="8"/>
        <v>0</v>
      </c>
      <c r="AF174" s="1">
        <f t="shared" si="11"/>
        <v>0.55246286288017077</v>
      </c>
      <c r="AH174" s="1">
        <f t="shared" si="12"/>
        <v>55.246286288017075</v>
      </c>
      <c r="AJ174" s="1">
        <f t="shared" si="13"/>
        <v>165.24312947562433</v>
      </c>
      <c r="AL174" s="1">
        <f t="shared" si="14"/>
        <v>165.24312947562433</v>
      </c>
      <c r="AN174" s="1">
        <f t="shared" si="15"/>
        <v>0.16524312947562433</v>
      </c>
    </row>
    <row r="175" spans="2:40" x14ac:dyDescent="0.25">
      <c r="B175" s="1">
        <f t="shared" si="9"/>
        <v>590</v>
      </c>
      <c r="D175" s="1">
        <f t="shared" si="10"/>
        <v>0.99591964735336191</v>
      </c>
      <c r="F175" s="1">
        <f t="shared" si="16"/>
        <v>-9.8072047161961398E-2</v>
      </c>
      <c r="I175" s="1">
        <f t="shared" si="1"/>
        <v>1.110308687777936</v>
      </c>
      <c r="L175" s="1">
        <f t="shared" si="17"/>
        <v>11.810676536790496</v>
      </c>
      <c r="N175" s="1">
        <f t="shared" si="3"/>
        <v>1.2501628039420519E-62</v>
      </c>
      <c r="P175" s="1">
        <f t="shared" si="4"/>
        <v>9.4559157066635765E-251</v>
      </c>
      <c r="R175" s="1">
        <f t="shared" si="5"/>
        <v>1.1507636419225604E-64</v>
      </c>
      <c r="U175" s="1">
        <f t="shared" si="18"/>
        <v>1.0406112877297279E+98</v>
      </c>
      <c r="Y175" s="1">
        <f t="shared" si="7"/>
        <v>0</v>
      </c>
      <c r="AB175" s="1">
        <f t="shared" si="8"/>
        <v>0</v>
      </c>
      <c r="AF175" s="1">
        <f t="shared" si="11"/>
        <v>0.55288911839258803</v>
      </c>
      <c r="AH175" s="1">
        <f t="shared" si="12"/>
        <v>55.288911839258802</v>
      </c>
      <c r="AJ175" s="1">
        <f t="shared" si="13"/>
        <v>165.37062364683587</v>
      </c>
      <c r="AL175" s="1">
        <f t="shared" si="14"/>
        <v>165.37062364683587</v>
      </c>
      <c r="AN175" s="1">
        <f t="shared" si="15"/>
        <v>0.16537062364683588</v>
      </c>
    </row>
    <row r="176" spans="2:40" x14ac:dyDescent="0.25">
      <c r="B176" s="1">
        <f t="shared" si="9"/>
        <v>600</v>
      </c>
      <c r="D176" s="1">
        <f t="shared" si="10"/>
        <v>0.99585063251319206</v>
      </c>
      <c r="F176" s="1">
        <f t="shared" si="16"/>
        <v>-9.8899674047232281E-2</v>
      </c>
      <c r="I176" s="1">
        <f t="shared" si="1"/>
        <v>1.1112335503429351</v>
      </c>
      <c r="L176" s="1">
        <f t="shared" si="17"/>
        <v>11.7101923580211</v>
      </c>
      <c r="N176" s="1">
        <f t="shared" si="3"/>
        <v>1.3399703752491451E-61</v>
      </c>
      <c r="P176" s="1">
        <f t="shared" si="4"/>
        <v>1.2170432434382943E-246</v>
      </c>
      <c r="R176" s="1">
        <f t="shared" si="5"/>
        <v>1.2330911728786405E-63</v>
      </c>
      <c r="U176" s="1">
        <f t="shared" si="18"/>
        <v>1.0406112877297279E+98</v>
      </c>
      <c r="Y176" s="1">
        <f t="shared" si="7"/>
        <v>0</v>
      </c>
      <c r="AB176" s="1">
        <f t="shared" si="8"/>
        <v>0</v>
      </c>
      <c r="AF176" s="1">
        <f t="shared" si="11"/>
        <v>0.55331131698944602</v>
      </c>
      <c r="AH176" s="1">
        <f t="shared" si="12"/>
        <v>55.331131698944603</v>
      </c>
      <c r="AJ176" s="1">
        <f t="shared" si="13"/>
        <v>165.49690438368273</v>
      </c>
      <c r="AL176" s="1">
        <f t="shared" si="14"/>
        <v>165.49690438368273</v>
      </c>
      <c r="AN176" s="1">
        <f t="shared" si="15"/>
        <v>0.16549690438368272</v>
      </c>
    </row>
    <row r="177" spans="2:40" x14ac:dyDescent="0.25">
      <c r="B177" s="1">
        <f t="shared" si="9"/>
        <v>610</v>
      </c>
      <c r="D177" s="1">
        <f t="shared" si="10"/>
        <v>0.9957816224555851</v>
      </c>
      <c r="F177" s="1">
        <f t="shared" si="16"/>
        <v>-9.9720432303312873E-2</v>
      </c>
      <c r="I177" s="1">
        <f t="shared" si="1"/>
        <v>1.1121505877932547</v>
      </c>
      <c r="L177" s="1">
        <f t="shared" si="17"/>
        <v>11.612175773811773</v>
      </c>
      <c r="N177" s="1">
        <f t="shared" si="3"/>
        <v>1.3289457865455365E-60</v>
      </c>
      <c r="P177" s="1">
        <f t="shared" si="4"/>
        <v>1.1487438043370955E-242</v>
      </c>
      <c r="R177" s="1">
        <f t="shared" si="5"/>
        <v>1.2226093617983621E-62</v>
      </c>
      <c r="U177" s="1">
        <f t="shared" si="18"/>
        <v>1.0406112877297279E+98</v>
      </c>
      <c r="Y177" s="1">
        <f t="shared" si="7"/>
        <v>0</v>
      </c>
      <c r="AB177" s="1">
        <f t="shared" si="8"/>
        <v>0</v>
      </c>
      <c r="AF177" s="1">
        <f t="shared" si="11"/>
        <v>0.55372955836384996</v>
      </c>
      <c r="AH177" s="1">
        <f t="shared" si="12"/>
        <v>55.372955836384996</v>
      </c>
      <c r="AJ177" s="1">
        <f t="shared" si="13"/>
        <v>165.62200150464102</v>
      </c>
      <c r="AL177" s="1">
        <f t="shared" si="14"/>
        <v>165.62200150464102</v>
      </c>
      <c r="AN177" s="1">
        <f t="shared" si="15"/>
        <v>0.16562200150464104</v>
      </c>
    </row>
    <row r="178" spans="2:40" x14ac:dyDescent="0.25">
      <c r="B178" s="1">
        <f t="shared" si="9"/>
        <v>620</v>
      </c>
      <c r="D178" s="1">
        <f t="shared" si="10"/>
        <v>0.99571261718020931</v>
      </c>
      <c r="F178" s="1">
        <f t="shared" si="16"/>
        <v>-0.10053449015571929</v>
      </c>
      <c r="I178" s="1">
        <f t="shared" si="1"/>
        <v>1.1130599905840843</v>
      </c>
      <c r="L178" s="1">
        <f t="shared" si="17"/>
        <v>11.516526987515531</v>
      </c>
      <c r="N178" s="1">
        <f t="shared" si="3"/>
        <v>1.2241461344990508E-59</v>
      </c>
      <c r="P178" s="1">
        <f t="shared" si="4"/>
        <v>8.0718146433798353E-239</v>
      </c>
      <c r="R178" s="1">
        <f t="shared" si="5"/>
        <v>1.1258854470526665E-61</v>
      </c>
      <c r="U178" s="1">
        <f t="shared" si="18"/>
        <v>1.0406112877297279E+98</v>
      </c>
      <c r="Y178" s="1">
        <f t="shared" si="7"/>
        <v>0</v>
      </c>
      <c r="AB178" s="1">
        <f t="shared" si="8"/>
        <v>0</v>
      </c>
      <c r="AF178" s="1">
        <f t="shared" si="11"/>
        <v>0.55414393815152885</v>
      </c>
      <c r="AH178" s="1">
        <f t="shared" si="12"/>
        <v>55.414393815152884</v>
      </c>
      <c r="AJ178" s="1">
        <f t="shared" si="13"/>
        <v>165.74594361461479</v>
      </c>
      <c r="AL178" s="1">
        <f t="shared" si="14"/>
        <v>165.74594361461479</v>
      </c>
      <c r="AN178" s="1">
        <f t="shared" si="15"/>
        <v>0.16574594361461478</v>
      </c>
    </row>
    <row r="179" spans="2:40" x14ac:dyDescent="0.25">
      <c r="B179" s="1">
        <f t="shared" si="9"/>
        <v>630</v>
      </c>
      <c r="D179" s="1">
        <f t="shared" si="10"/>
        <v>0.9956436166867334</v>
      </c>
      <c r="F179" s="1">
        <f t="shared" si="16"/>
        <v>-0.10134200907314415</v>
      </c>
      <c r="I179" s="1">
        <f t="shared" si="1"/>
        <v>1.1139619415311206</v>
      </c>
      <c r="L179" s="1">
        <f t="shared" si="17"/>
        <v>11.423151766478282</v>
      </c>
      <c r="N179" s="1">
        <f t="shared" si="3"/>
        <v>1.0509939023682257E-58</v>
      </c>
      <c r="P179" s="1">
        <f t="shared" si="4"/>
        <v>4.2820564427654794E-235</v>
      </c>
      <c r="R179" s="1">
        <f t="shared" si="5"/>
        <v>9.663660213591712E-61</v>
      </c>
      <c r="U179" s="1">
        <f t="shared" si="18"/>
        <v>1.0406112877297279E+98</v>
      </c>
      <c r="Y179" s="1">
        <f t="shared" si="7"/>
        <v>0</v>
      </c>
      <c r="AB179" s="1">
        <f t="shared" si="8"/>
        <v>0</v>
      </c>
      <c r="AF179" s="1">
        <f t="shared" si="11"/>
        <v>0.55455454815871019</v>
      </c>
      <c r="AH179" s="1">
        <f t="shared" si="12"/>
        <v>55.455454815871022</v>
      </c>
      <c r="AJ179" s="1">
        <f t="shared" si="13"/>
        <v>165.86875817309374</v>
      </c>
      <c r="AL179" s="1">
        <f t="shared" si="14"/>
        <v>165.86875817309374</v>
      </c>
      <c r="AN179" s="1">
        <f t="shared" si="15"/>
        <v>0.16586875817309377</v>
      </c>
    </row>
    <row r="180" spans="2:40" x14ac:dyDescent="0.25">
      <c r="B180" s="1">
        <f t="shared" si="9"/>
        <v>640</v>
      </c>
      <c r="D180" s="1">
        <f t="shared" si="10"/>
        <v>0.99557462097482607</v>
      </c>
      <c r="F180" s="1">
        <f t="shared" si="16"/>
        <v>-0.102143144141406</v>
      </c>
      <c r="I180" s="1">
        <f t="shared" si="1"/>
        <v>1.1148566162331282</v>
      </c>
      <c r="L180" s="1">
        <f t="shared" si="17"/>
        <v>11.331961049366432</v>
      </c>
      <c r="N180" s="1">
        <f t="shared" si="3"/>
        <v>8.4380024033874862E-58</v>
      </c>
      <c r="P180" s="1">
        <f t="shared" si="4"/>
        <v>1.7377520743607361E-231</v>
      </c>
      <c r="R180" s="1">
        <f t="shared" si="5"/>
        <v>7.7564257873822856E-60</v>
      </c>
      <c r="U180" s="1">
        <f t="shared" si="18"/>
        <v>1.0406112877297279E+98</v>
      </c>
      <c r="Y180" s="1">
        <f t="shared" si="7"/>
        <v>0</v>
      </c>
      <c r="AB180" s="1">
        <f t="shared" si="8"/>
        <v>0</v>
      </c>
      <c r="AF180" s="1">
        <f t="shared" si="11"/>
        <v>0.5549614765737868</v>
      </c>
      <c r="AH180" s="1">
        <f t="shared" si="12"/>
        <v>55.496147657378678</v>
      </c>
      <c r="AJ180" s="1">
        <f t="shared" si="13"/>
        <v>165.99047155746362</v>
      </c>
      <c r="AL180" s="1">
        <f t="shared" si="14"/>
        <v>165.99047155746362</v>
      </c>
      <c r="AN180" s="1">
        <f t="shared" si="15"/>
        <v>0.16599047155746363</v>
      </c>
    </row>
    <row r="181" spans="2:40" x14ac:dyDescent="0.25">
      <c r="B181" s="1">
        <f t="shared" si="9"/>
        <v>650</v>
      </c>
      <c r="D181" s="1">
        <f t="shared" si="10"/>
        <v>0.99550563004415582</v>
      </c>
      <c r="F181" s="1">
        <f t="shared" ref="F181:F212" si="19">($M$18-$M$14-($I$36*B181))/POWER(4*$S$36*B181,0.5)</f>
        <v>-0.10293804441120329</v>
      </c>
      <c r="I181" s="1">
        <f t="shared" ref="I181:I244" si="20">IF(F181&gt;0,ERFC(IF(F181&lt;27,F181,27)),1+ERF(IF(-F181&lt;27,-F181,27)))</f>
        <v>1.1157441834649109</v>
      </c>
      <c r="L181" s="1">
        <f t="shared" ref="L181:L212" si="21">($M$18-(B181*$I$36))/POWER(4*$S$36*B181,0.5)</f>
        <v>11.242870586845598</v>
      </c>
      <c r="N181" s="1">
        <f t="shared" ref="N181:N244" si="22">IF(L181&gt;0,ERFC(IF(L181&lt;27,L181,27)),1+ERF(IF(-L181&lt;27,-L181,27)))</f>
        <v>6.3547010940538327E-57</v>
      </c>
      <c r="P181" s="1">
        <f t="shared" ref="P181:P244" si="23">IF(($M$18+$M$14+$I$36*B181)/POWER(4*$S$36*B181,0.5)&gt;27,ERFC(27),ERFC(($M$18+$M$14+$I$36*B181)/POWER(4*$S$36*B181,0.5)))</f>
        <v>5.461933917053787E-228</v>
      </c>
      <c r="R181" s="1">
        <f t="shared" ref="R181:R244" si="24">IF(($M$18+$I$36*B181)/(POWER(4*$S$36*B181,0.5))&gt;27,ERFC(27),ERFC(($M$18+$I$36*B181)/(POWER(4*$S$36*B181,0.5))))</f>
        <v>5.8397962299718586E-59</v>
      </c>
      <c r="U181" s="1">
        <f t="shared" ref="U181:U212" si="25">(2+$I$36/$C$42)*EXP(IF(($C$42*($C$42+$I$36)*B181+($C$42+$I$36)*$M$18)/$S$36&gt;225,225,($C$42*($C$42+$I$36)*B181+($C$42+$I$36)*$M$18)/$S$36))</f>
        <v>1.0406112877297279E+98</v>
      </c>
      <c r="Y181" s="1">
        <f t="shared" ref="Y181:Y244" si="26">IF(($M$18+((2*$C$42+$I$36)*B181))/POWER(4*$S$36*B181,0.5)&gt;27,ERFC(27),ERFC(($M$18+((2*$C$42+$I$36)*B181))/POWER(4*$S$36*B181,0.5)))</f>
        <v>0</v>
      </c>
      <c r="AB181" s="1">
        <f t="shared" ref="AB181:AB244" si="27">IF(($M$18+$M$14+((2*$C$42+$I$36)*B181))/POWER(4*$S$36*B181,0.5)&gt;27,ERFC(27),ERFC(($M$18+$M$14+((2*$C$42+$I$36)*B181))/POWER(4*$S$36*B181,0.5)))</f>
        <v>0</v>
      </c>
      <c r="AF181" s="1">
        <f t="shared" si="11"/>
        <v>0.55536480816416911</v>
      </c>
      <c r="AH181" s="1">
        <f t="shared" si="12"/>
        <v>55.536480816416912</v>
      </c>
      <c r="AJ181" s="1">
        <f t="shared" si="13"/>
        <v>166.11110912188505</v>
      </c>
      <c r="AL181" s="1">
        <f t="shared" si="14"/>
        <v>166.11110912188505</v>
      </c>
      <c r="AN181" s="1">
        <f t="shared" si="15"/>
        <v>0.16611110912188506</v>
      </c>
    </row>
    <row r="182" spans="2:40" x14ac:dyDescent="0.25">
      <c r="B182" s="1">
        <f t="shared" ref="B182:B245" si="28">B181+$M$20</f>
        <v>660</v>
      </c>
      <c r="D182" s="1">
        <f t="shared" ref="D182:D245" si="29">EXP(-0.693/$M$6*B182)</f>
        <v>0.99543664389439146</v>
      </c>
      <c r="F182" s="1">
        <f t="shared" si="19"/>
        <v>-0.10372685322188113</v>
      </c>
      <c r="I182" s="1">
        <f t="shared" si="20"/>
        <v>1.116624805543186</v>
      </c>
      <c r="L182" s="1">
        <f t="shared" si="21"/>
        <v>11.155800612313486</v>
      </c>
      <c r="N182" s="1">
        <f t="shared" si="22"/>
        <v>4.5022412338376585E-56</v>
      </c>
      <c r="P182" s="1">
        <f t="shared" si="23"/>
        <v>1.3451535874184987E-224</v>
      </c>
      <c r="R182" s="1">
        <f t="shared" si="24"/>
        <v>4.136298983525049E-58</v>
      </c>
      <c r="U182" s="1">
        <f t="shared" si="25"/>
        <v>1.0406112877297279E+98</v>
      </c>
      <c r="Y182" s="1">
        <f t="shared" si="26"/>
        <v>0</v>
      </c>
      <c r="AB182" s="1">
        <f t="shared" si="27"/>
        <v>0</v>
      </c>
      <c r="AF182" s="1">
        <f t="shared" ref="AF182:AF245" si="30">0.5*D182*((I182-N182)+($Q$44)*(P182-R182)+U182*(Y182-($Q$84*AB182)))</f>
        <v>0.55576462445956831</v>
      </c>
      <c r="AH182" s="1">
        <f t="shared" ref="AH182:AH245" si="31">$M$4*AF182</f>
        <v>55.576462445956828</v>
      </c>
      <c r="AJ182" s="1">
        <f t="shared" ref="AJ182:AJ245" si="32">AF182*$M$25</f>
        <v>166.23069525211412</v>
      </c>
      <c r="AL182" s="1">
        <f t="shared" ref="AL182:AL245" si="33">AF182*$M$27</f>
        <v>166.23069525211412</v>
      </c>
      <c r="AN182" s="1">
        <f t="shared" ref="AN182:AN245" si="34">AF182*$M$28</f>
        <v>0.16623069525211412</v>
      </c>
    </row>
    <row r="183" spans="2:40" x14ac:dyDescent="0.25">
      <c r="B183" s="1">
        <f t="shared" si="28"/>
        <v>670</v>
      </c>
      <c r="D183" s="1">
        <f t="shared" si="29"/>
        <v>0.9953676625252017</v>
      </c>
      <c r="F183" s="1">
        <f t="shared" si="19"/>
        <v>-0.10450970850320312</v>
      </c>
      <c r="I183" s="1">
        <f t="shared" si="20"/>
        <v>1.1174986386676093</v>
      </c>
      <c r="L183" s="1">
        <f t="shared" si="21"/>
        <v>11.070675539760416</v>
      </c>
      <c r="N183" s="1">
        <f t="shared" si="22"/>
        <v>3.0090356682193914E-55</v>
      </c>
      <c r="P183" s="1">
        <f t="shared" si="23"/>
        <v>2.6242586413841863E-221</v>
      </c>
      <c r="R183" s="1">
        <f t="shared" si="24"/>
        <v>2.7637014167187603E-57</v>
      </c>
      <c r="U183" s="1">
        <f t="shared" si="25"/>
        <v>1.0406112877297279E+98</v>
      </c>
      <c r="Y183" s="1">
        <f t="shared" si="26"/>
        <v>0</v>
      </c>
      <c r="AB183" s="1">
        <f t="shared" si="27"/>
        <v>0</v>
      </c>
      <c r="AF183" s="1">
        <f t="shared" si="30"/>
        <v>0.55616100392283663</v>
      </c>
      <c r="AH183" s="1">
        <f t="shared" si="31"/>
        <v>55.616100392283663</v>
      </c>
      <c r="AJ183" s="1">
        <f t="shared" si="32"/>
        <v>166.34925341660116</v>
      </c>
      <c r="AL183" s="1">
        <f t="shared" si="33"/>
        <v>166.34925341660116</v>
      </c>
      <c r="AN183" s="1">
        <f t="shared" si="34"/>
        <v>0.16634925341660117</v>
      </c>
    </row>
    <row r="184" spans="2:40" x14ac:dyDescent="0.25">
      <c r="B184" s="1">
        <f t="shared" si="28"/>
        <v>680</v>
      </c>
      <c r="D184" s="1">
        <f t="shared" si="29"/>
        <v>0.99529868593625503</v>
      </c>
      <c r="F184" s="1">
        <f t="shared" si="19"/>
        <v>-0.10528674305692667</v>
      </c>
      <c r="I184" s="1">
        <f t="shared" si="20"/>
        <v>1.1183658332389854</v>
      </c>
      <c r="L184" s="1">
        <f t="shared" si="21"/>
        <v>10.987423686154992</v>
      </c>
      <c r="N184" s="1">
        <f t="shared" si="22"/>
        <v>1.9019883495043176E-54</v>
      </c>
      <c r="P184" s="1">
        <f t="shared" si="23"/>
        <v>4.0974560027211887E-218</v>
      </c>
      <c r="R184" s="1">
        <f t="shared" si="24"/>
        <v>1.7464344437631333E-56</v>
      </c>
      <c r="U184" s="1">
        <f t="shared" si="25"/>
        <v>1.0406112877297279E+98</v>
      </c>
      <c r="Y184" s="1">
        <f t="shared" si="26"/>
        <v>0</v>
      </c>
      <c r="AB184" s="1">
        <f t="shared" si="27"/>
        <v>0</v>
      </c>
      <c r="AF184" s="1">
        <f t="shared" si="30"/>
        <v>0.55655402210938354</v>
      </c>
      <c r="AH184" s="1">
        <f t="shared" si="31"/>
        <v>55.655402210938355</v>
      </c>
      <c r="AJ184" s="1">
        <f t="shared" si="32"/>
        <v>166.46680621417252</v>
      </c>
      <c r="AL184" s="1">
        <f t="shared" si="33"/>
        <v>166.46680621417252</v>
      </c>
      <c r="AN184" s="1">
        <f t="shared" si="34"/>
        <v>0.16646680621417254</v>
      </c>
    </row>
    <row r="185" spans="2:40" x14ac:dyDescent="0.25">
      <c r="B185" s="1">
        <f t="shared" si="28"/>
        <v>690</v>
      </c>
      <c r="D185" s="1">
        <f t="shared" si="29"/>
        <v>0.9952297141272205</v>
      </c>
      <c r="F185" s="1">
        <f t="shared" si="19"/>
        <v>-0.10605808481981045</v>
      </c>
      <c r="I185" s="1">
        <f t="shared" si="20"/>
        <v>1.1192265341564998</v>
      </c>
      <c r="L185" s="1">
        <f t="shared" si="21"/>
        <v>10.905977016036289</v>
      </c>
      <c r="N185" s="1">
        <f t="shared" si="22"/>
        <v>1.1397840605593212E-53</v>
      </c>
      <c r="P185" s="1">
        <f t="shared" si="23"/>
        <v>5.1701089908773621E-215</v>
      </c>
      <c r="R185" s="1">
        <f t="shared" si="24"/>
        <v>1.0462794424938372E-55</v>
      </c>
      <c r="U185" s="1">
        <f t="shared" si="25"/>
        <v>1.0406112877297279E+98</v>
      </c>
      <c r="Y185" s="1">
        <f t="shared" si="26"/>
        <v>0</v>
      </c>
      <c r="AB185" s="1">
        <f t="shared" si="27"/>
        <v>0</v>
      </c>
      <c r="AF185" s="1">
        <f t="shared" si="30"/>
        <v>0.55694375181608657</v>
      </c>
      <c r="AH185" s="1">
        <f t="shared" si="31"/>
        <v>55.694375181608656</v>
      </c>
      <c r="AJ185" s="1">
        <f t="shared" si="32"/>
        <v>166.58337541857023</v>
      </c>
      <c r="AL185" s="1">
        <f t="shared" si="33"/>
        <v>166.58337541857023</v>
      </c>
      <c r="AN185" s="1">
        <f t="shared" si="34"/>
        <v>0.16658337541857024</v>
      </c>
    </row>
    <row r="186" spans="2:40" x14ac:dyDescent="0.25">
      <c r="B186" s="1">
        <f t="shared" si="28"/>
        <v>700</v>
      </c>
      <c r="D186" s="1">
        <f t="shared" si="29"/>
        <v>0.9951607470977667</v>
      </c>
      <c r="F186" s="1">
        <f t="shared" si="19"/>
        <v>-0.1068238571095283</v>
      </c>
      <c r="I186" s="1">
        <f t="shared" si="20"/>
        <v>1.1200808810956415</v>
      </c>
      <c r="L186" s="1">
        <f t="shared" si="21"/>
        <v>10.826270906243218</v>
      </c>
      <c r="N186" s="1">
        <f t="shared" si="22"/>
        <v>6.4902836090932105E-53</v>
      </c>
      <c r="P186" s="1">
        <f t="shared" si="23"/>
        <v>5.3201933202377772E-212</v>
      </c>
      <c r="R186" s="1">
        <f t="shared" si="24"/>
        <v>5.956203016202896E-55</v>
      </c>
      <c r="U186" s="1">
        <f t="shared" si="25"/>
        <v>1.0406112877297279E+98</v>
      </c>
      <c r="Y186" s="1">
        <f t="shared" si="26"/>
        <v>0</v>
      </c>
      <c r="AB186" s="1">
        <f t="shared" si="27"/>
        <v>0</v>
      </c>
      <c r="AF186" s="1">
        <f t="shared" si="30"/>
        <v>0.5573302632205317</v>
      </c>
      <c r="AH186" s="1">
        <f t="shared" si="31"/>
        <v>55.733026322053171</v>
      </c>
      <c r="AJ186" s="1">
        <f t="shared" si="32"/>
        <v>166.69898202009918</v>
      </c>
      <c r="AL186" s="1">
        <f t="shared" si="33"/>
        <v>166.69898202009918</v>
      </c>
      <c r="AN186" s="1">
        <f t="shared" si="34"/>
        <v>0.1666989820200992</v>
      </c>
    </row>
    <row r="187" spans="2:40" x14ac:dyDescent="0.25">
      <c r="B187" s="1">
        <f t="shared" si="28"/>
        <v>710</v>
      </c>
      <c r="D187" s="1">
        <f t="shared" si="29"/>
        <v>0.99509178484756233</v>
      </c>
      <c r="F187" s="1">
        <f t="shared" si="19"/>
        <v>-0.10758417885482853</v>
      </c>
      <c r="I187" s="1">
        <f t="shared" si="20"/>
        <v>1.1209290087683255</v>
      </c>
      <c r="L187" s="1">
        <f t="shared" si="21"/>
        <v>10.748243928931192</v>
      </c>
      <c r="N187" s="1">
        <f t="shared" si="22"/>
        <v>3.5193901955167469E-52</v>
      </c>
      <c r="P187" s="1">
        <f t="shared" si="23"/>
        <v>4.503380935359315E-209</v>
      </c>
      <c r="R187" s="1">
        <f t="shared" si="24"/>
        <v>3.2288953422821697E-54</v>
      </c>
      <c r="U187" s="1">
        <f t="shared" si="25"/>
        <v>1.0406112877297279E+98</v>
      </c>
      <c r="Y187" s="1">
        <f t="shared" si="26"/>
        <v>0</v>
      </c>
      <c r="AB187" s="1">
        <f t="shared" si="27"/>
        <v>0</v>
      </c>
      <c r="AF187" s="1">
        <f t="shared" si="30"/>
        <v>0.55771362401134095</v>
      </c>
      <c r="AH187" s="1">
        <f t="shared" si="31"/>
        <v>55.771362401134098</v>
      </c>
      <c r="AJ187" s="1">
        <f t="shared" si="32"/>
        <v>166.81364626460842</v>
      </c>
      <c r="AL187" s="1">
        <f t="shared" si="33"/>
        <v>166.81364626460842</v>
      </c>
      <c r="AN187" s="1">
        <f t="shared" si="34"/>
        <v>0.16681364626460843</v>
      </c>
    </row>
    <row r="188" spans="2:40" x14ac:dyDescent="0.25">
      <c r="B188" s="1">
        <f t="shared" si="28"/>
        <v>720</v>
      </c>
      <c r="D188" s="1">
        <f t="shared" si="29"/>
        <v>0.99502282737627634</v>
      </c>
      <c r="F188" s="1">
        <f t="shared" si="19"/>
        <v>-0.10833916481115473</v>
      </c>
      <c r="I188" s="1">
        <f t="shared" si="20"/>
        <v>1.1217710471665889</v>
      </c>
      <c r="L188" s="1">
        <f t="shared" si="21"/>
        <v>10.671837651219422</v>
      </c>
      <c r="N188" s="1">
        <f t="shared" si="22"/>
        <v>1.8210341788714702E-51</v>
      </c>
      <c r="P188" s="1">
        <f t="shared" si="23"/>
        <v>3.1613088303746292E-206</v>
      </c>
      <c r="R188" s="1">
        <f t="shared" si="24"/>
        <v>1.6702650899271384E-53</v>
      </c>
      <c r="U188" s="1">
        <f t="shared" si="25"/>
        <v>1.0406112877297279E+98</v>
      </c>
      <c r="Y188" s="1">
        <f t="shared" si="26"/>
        <v>0</v>
      </c>
      <c r="AB188" s="1">
        <f t="shared" si="27"/>
        <v>0</v>
      </c>
      <c r="AF188" s="1">
        <f t="shared" si="30"/>
        <v>0.55809389951027277</v>
      </c>
      <c r="AH188" s="1">
        <f t="shared" si="31"/>
        <v>55.809389951027278</v>
      </c>
      <c r="AJ188" s="1">
        <f t="shared" si="32"/>
        <v>166.92738769001176</v>
      </c>
      <c r="AL188" s="1">
        <f t="shared" si="33"/>
        <v>166.92738769001176</v>
      </c>
      <c r="AN188" s="1">
        <f t="shared" si="34"/>
        <v>0.16692738769001178</v>
      </c>
    </row>
    <row r="189" spans="2:40" x14ac:dyDescent="0.25">
      <c r="B189" s="1">
        <f t="shared" si="28"/>
        <v>730</v>
      </c>
      <c r="D189" s="1">
        <f t="shared" si="29"/>
        <v>0.99495387468357765</v>
      </c>
      <c r="F189" s="1">
        <f t="shared" si="19"/>
        <v>-0.10908892576283516</v>
      </c>
      <c r="I189" s="1">
        <f t="shared" si="20"/>
        <v>1.122607121791114</v>
      </c>
      <c r="L189" s="1">
        <f t="shared" si="21"/>
        <v>10.596996449983122</v>
      </c>
      <c r="N189" s="1">
        <f t="shared" si="22"/>
        <v>9.0084806957607908E-51</v>
      </c>
      <c r="P189" s="1">
        <f t="shared" si="23"/>
        <v>1.8546072314010846E-203</v>
      </c>
      <c r="R189" s="1">
        <f t="shared" si="24"/>
        <v>8.2603727308190379E-53</v>
      </c>
      <c r="U189" s="1">
        <f t="shared" si="25"/>
        <v>1.0406112877297279E+98</v>
      </c>
      <c r="Y189" s="1">
        <f t="shared" si="26"/>
        <v>0</v>
      </c>
      <c r="AB189" s="1">
        <f t="shared" si="27"/>
        <v>0</v>
      </c>
      <c r="AF189" s="1">
        <f t="shared" si="30"/>
        <v>0.55847115278672388</v>
      </c>
      <c r="AH189" s="1">
        <f t="shared" si="31"/>
        <v>55.847115278672391</v>
      </c>
      <c r="AJ189" s="1">
        <f t="shared" si="32"/>
        <v>167.04022516053553</v>
      </c>
      <c r="AL189" s="1">
        <f t="shared" si="33"/>
        <v>167.04022516053553</v>
      </c>
      <c r="AN189" s="1">
        <f t="shared" si="34"/>
        <v>0.16704022516053554</v>
      </c>
    </row>
    <row r="190" spans="2:40" x14ac:dyDescent="0.25">
      <c r="B190" s="1">
        <f t="shared" si="28"/>
        <v>740</v>
      </c>
      <c r="D190" s="1">
        <f t="shared" si="29"/>
        <v>0.99488492676913487</v>
      </c>
      <c r="F190" s="1">
        <f t="shared" si="19"/>
        <v>-0.10983356871284923</v>
      </c>
      <c r="I190" s="1">
        <f t="shared" si="20"/>
        <v>1.1234373538657134</v>
      </c>
      <c r="L190" s="1">
        <f t="shared" si="21"/>
        <v>10.523667340455857</v>
      </c>
      <c r="N190" s="1">
        <f t="shared" si="22"/>
        <v>4.2683346851702706E-50</v>
      </c>
      <c r="P190" s="1">
        <f t="shared" si="23"/>
        <v>9.1591054690203974E-201</v>
      </c>
      <c r="R190" s="1">
        <f t="shared" si="24"/>
        <v>3.9127974768899226E-52</v>
      </c>
      <c r="U190" s="1">
        <f t="shared" si="25"/>
        <v>1.0406112877297279E+98</v>
      </c>
      <c r="Y190" s="1">
        <f t="shared" si="26"/>
        <v>0</v>
      </c>
      <c r="AB190" s="1">
        <f t="shared" si="27"/>
        <v>0</v>
      </c>
      <c r="AF190" s="1">
        <f t="shared" si="30"/>
        <v>0.55884544476520048</v>
      </c>
      <c r="AH190" s="1">
        <f t="shared" si="31"/>
        <v>55.884544476520048</v>
      </c>
      <c r="AJ190" s="1">
        <f t="shared" si="32"/>
        <v>167.15217689886353</v>
      </c>
      <c r="AL190" s="1">
        <f t="shared" si="33"/>
        <v>167.15217689886353</v>
      </c>
      <c r="AN190" s="1">
        <f t="shared" si="34"/>
        <v>0.16715217689886352</v>
      </c>
    </row>
    <row r="191" spans="2:40" x14ac:dyDescent="0.25">
      <c r="B191" s="1">
        <f t="shared" si="28"/>
        <v>750</v>
      </c>
      <c r="D191" s="1">
        <f t="shared" si="29"/>
        <v>0.99481598363261703</v>
      </c>
      <c r="F191" s="1">
        <f t="shared" si="19"/>
        <v>-0.11057319706109156</v>
      </c>
      <c r="I191" s="1">
        <f t="shared" si="20"/>
        <v>1.1242618605388215</v>
      </c>
      <c r="L191" s="1">
        <f t="shared" si="21"/>
        <v>10.451799817441275</v>
      </c>
      <c r="N191" s="1">
        <f t="shared" si="22"/>
        <v>1.940382562038882E-49</v>
      </c>
      <c r="P191" s="1">
        <f t="shared" si="23"/>
        <v>3.8340791906759435E-198</v>
      </c>
      <c r="R191" s="1">
        <f t="shared" si="24"/>
        <v>1.7782675604239571E-51</v>
      </c>
      <c r="U191" s="1">
        <f t="shared" si="25"/>
        <v>1.0406112877297279E+98</v>
      </c>
      <c r="Y191" s="1">
        <f t="shared" si="26"/>
        <v>0</v>
      </c>
      <c r="AB191" s="1">
        <f t="shared" si="27"/>
        <v>0</v>
      </c>
      <c r="AF191" s="1">
        <f t="shared" si="30"/>
        <v>0.55921683432628189</v>
      </c>
      <c r="AH191" s="1">
        <f t="shared" si="31"/>
        <v>55.921683432628186</v>
      </c>
      <c r="AJ191" s="1">
        <f t="shared" si="32"/>
        <v>167.26326051633552</v>
      </c>
      <c r="AL191" s="1">
        <f t="shared" si="33"/>
        <v>167.26326051633552</v>
      </c>
      <c r="AN191" s="1">
        <f t="shared" si="34"/>
        <v>0.16726326051633553</v>
      </c>
    </row>
    <row r="192" spans="2:40" x14ac:dyDescent="0.25">
      <c r="B192" s="1">
        <f t="shared" si="28"/>
        <v>760</v>
      </c>
      <c r="D192" s="1">
        <f t="shared" si="29"/>
        <v>0.99474704527369306</v>
      </c>
      <c r="F192" s="1">
        <f t="shared" si="19"/>
        <v>-0.11130791077197434</v>
      </c>
      <c r="I192" s="1">
        <f t="shared" si="20"/>
        <v>1.1250807550729367</v>
      </c>
      <c r="L192" s="1">
        <f t="shared" si="21"/>
        <v>10.381345708052299</v>
      </c>
      <c r="N192" s="1">
        <f t="shared" si="22"/>
        <v>8.4771015969167436E-49</v>
      </c>
      <c r="P192" s="1">
        <f t="shared" si="23"/>
        <v>1.3693341149210811E-195</v>
      </c>
      <c r="R192" s="1">
        <f t="shared" si="24"/>
        <v>7.7667262294939426E-51</v>
      </c>
      <c r="U192" s="1">
        <f t="shared" si="25"/>
        <v>1.0406112877297279E+98</v>
      </c>
      <c r="Y192" s="1">
        <f t="shared" si="26"/>
        <v>0</v>
      </c>
      <c r="AB192" s="1">
        <f t="shared" si="27"/>
        <v>0</v>
      </c>
      <c r="AF192" s="1">
        <f t="shared" si="30"/>
        <v>0.55958537840154965</v>
      </c>
      <c r="AH192" s="1">
        <f t="shared" si="31"/>
        <v>55.958537840154968</v>
      </c>
      <c r="AJ192" s="1">
        <f t="shared" si="32"/>
        <v>167.37349304134085</v>
      </c>
      <c r="AL192" s="1">
        <f t="shared" si="33"/>
        <v>167.37349304134085</v>
      </c>
      <c r="AN192" s="1">
        <f t="shared" si="34"/>
        <v>0.16737349304134086</v>
      </c>
    </row>
    <row r="193" spans="2:40" x14ac:dyDescent="0.25">
      <c r="B193" s="1">
        <f t="shared" si="28"/>
        <v>770</v>
      </c>
      <c r="D193" s="1">
        <f t="shared" si="29"/>
        <v>0.99467811169203169</v>
      </c>
      <c r="F193" s="1">
        <f t="shared" si="19"/>
        <v>-0.11203780653213724</v>
      </c>
      <c r="I193" s="1">
        <f t="shared" si="20"/>
        <v>1.1258941470228896</v>
      </c>
      <c r="L193" s="1">
        <f t="shared" si="21"/>
        <v>10.312259035001597</v>
      </c>
      <c r="N193" s="1">
        <f t="shared" si="22"/>
        <v>3.5646004655338811E-48</v>
      </c>
      <c r="P193" s="1">
        <f t="shared" si="23"/>
        <v>4.1984052249696102E-193</v>
      </c>
      <c r="R193" s="1">
        <f t="shared" si="24"/>
        <v>3.2649937989666969E-50</v>
      </c>
      <c r="U193" s="1">
        <f t="shared" si="25"/>
        <v>1.0406112877297279E+98</v>
      </c>
      <c r="Y193" s="1">
        <f t="shared" si="26"/>
        <v>0</v>
      </c>
      <c r="AB193" s="1">
        <f t="shared" si="27"/>
        <v>0</v>
      </c>
      <c r="AF193" s="1">
        <f t="shared" si="30"/>
        <v>0.55995113206291924</v>
      </c>
      <c r="AH193" s="1">
        <f t="shared" si="31"/>
        <v>55.995113206291926</v>
      </c>
      <c r="AJ193" s="1">
        <f t="shared" si="32"/>
        <v>167.48289094603763</v>
      </c>
      <c r="AL193" s="1">
        <f t="shared" si="33"/>
        <v>167.48289094603763</v>
      </c>
      <c r="AN193" s="1">
        <f t="shared" si="34"/>
        <v>0.16748289094603763</v>
      </c>
    </row>
    <row r="194" spans="2:40" x14ac:dyDescent="0.25">
      <c r="B194" s="1">
        <f t="shared" si="28"/>
        <v>780</v>
      </c>
      <c r="D194" s="1">
        <f t="shared" si="29"/>
        <v>0.99460918288730216</v>
      </c>
      <c r="F194" s="1">
        <f t="shared" si="19"/>
        <v>-0.11276297789896926</v>
      </c>
      <c r="I194" s="1">
        <f t="shared" si="20"/>
        <v>1.1267021424037258</v>
      </c>
      <c r="L194" s="1">
        <f t="shared" si="21"/>
        <v>10.244495889561303</v>
      </c>
      <c r="N194" s="1">
        <f t="shared" si="22"/>
        <v>1.4448262728964244E-47</v>
      </c>
      <c r="P194" s="1">
        <f t="shared" si="23"/>
        <v>1.1115637064257365E-190</v>
      </c>
      <c r="R194" s="1">
        <f t="shared" si="24"/>
        <v>1.3230250005718215E-49</v>
      </c>
      <c r="U194" s="1">
        <f t="shared" si="25"/>
        <v>1.0406112877297279E+98</v>
      </c>
      <c r="Y194" s="1">
        <f t="shared" si="26"/>
        <v>0</v>
      </c>
      <c r="AB194" s="1">
        <f t="shared" si="27"/>
        <v>0</v>
      </c>
      <c r="AF194" s="1">
        <f t="shared" si="30"/>
        <v>0.5603141486067712</v>
      </c>
      <c r="AH194" s="1">
        <f t="shared" si="31"/>
        <v>56.031414860677117</v>
      </c>
      <c r="AJ194" s="1">
        <f t="shared" si="32"/>
        <v>167.59147017151679</v>
      </c>
      <c r="AL194" s="1">
        <f t="shared" si="33"/>
        <v>167.59147017151679</v>
      </c>
      <c r="AN194" s="1">
        <f t="shared" si="34"/>
        <v>0.16759147017151679</v>
      </c>
    </row>
    <row r="195" spans="2:40" x14ac:dyDescent="0.25">
      <c r="B195" s="1">
        <f t="shared" si="28"/>
        <v>790</v>
      </c>
      <c r="D195" s="1">
        <f t="shared" si="29"/>
        <v>0.99454025885917319</v>
      </c>
      <c r="F195" s="1">
        <f t="shared" si="19"/>
        <v>-0.1134835154405883</v>
      </c>
      <c r="I195" s="1">
        <f t="shared" si="20"/>
        <v>1.1275048438489395</v>
      </c>
      <c r="L195" s="1">
        <f t="shared" si="21"/>
        <v>10.178014313393957</v>
      </c>
      <c r="N195" s="1">
        <f t="shared" si="22"/>
        <v>5.6528475023395859E-47</v>
      </c>
      <c r="P195" s="1">
        <f t="shared" si="23"/>
        <v>2.5555178418663378E-188</v>
      </c>
      <c r="R195" s="1">
        <f t="shared" si="24"/>
        <v>5.1748842045780656E-49</v>
      </c>
      <c r="U195" s="1">
        <f t="shared" si="25"/>
        <v>1.0406112877297279E+98</v>
      </c>
      <c r="Y195" s="1">
        <f t="shared" si="26"/>
        <v>0</v>
      </c>
      <c r="AB195" s="1">
        <f t="shared" si="27"/>
        <v>0</v>
      </c>
      <c r="AF195" s="1">
        <f t="shared" si="30"/>
        <v>0.5606744796332479</v>
      </c>
      <c r="AH195" s="1">
        <f t="shared" si="31"/>
        <v>56.067447963324788</v>
      </c>
      <c r="AJ195" s="1">
        <f t="shared" si="32"/>
        <v>167.69924615151979</v>
      </c>
      <c r="AL195" s="1">
        <f t="shared" si="33"/>
        <v>167.69924615151979</v>
      </c>
      <c r="AN195" s="1">
        <f t="shared" si="34"/>
        <v>0.16769924615151979</v>
      </c>
    </row>
    <row r="196" spans="2:40" x14ac:dyDescent="0.25">
      <c r="B196" s="1">
        <f t="shared" si="28"/>
        <v>800</v>
      </c>
      <c r="D196" s="1">
        <f t="shared" si="29"/>
        <v>0.99447133960731393</v>
      </c>
      <c r="F196" s="1">
        <f t="shared" si="19"/>
        <v>-0.11419950686787161</v>
      </c>
      <c r="I196" s="1">
        <f t="shared" si="20"/>
        <v>1.1283023507597234</v>
      </c>
      <c r="L196" s="1">
        <f t="shared" si="21"/>
        <v>10.112774188531704</v>
      </c>
      <c r="N196" s="1">
        <f t="shared" si="22"/>
        <v>2.1376720520783734E-46</v>
      </c>
      <c r="P196" s="1">
        <f t="shared" si="23"/>
        <v>5.1288092276046918E-186</v>
      </c>
      <c r="R196" s="1">
        <f t="shared" si="24"/>
        <v>1.956389930226922E-48</v>
      </c>
      <c r="U196" s="1">
        <f t="shared" si="25"/>
        <v>1.0406112877297279E+98</v>
      </c>
      <c r="Y196" s="1">
        <f t="shared" si="26"/>
        <v>0</v>
      </c>
      <c r="AB196" s="1">
        <f t="shared" si="27"/>
        <v>0</v>
      </c>
      <c r="AF196" s="1">
        <f t="shared" si="30"/>
        <v>0.56103217512105175</v>
      </c>
      <c r="AH196" s="1">
        <f t="shared" si="31"/>
        <v>56.103217512105175</v>
      </c>
      <c r="AJ196" s="1">
        <f t="shared" si="32"/>
        <v>167.80623383481105</v>
      </c>
      <c r="AL196" s="1">
        <f t="shared" si="33"/>
        <v>167.80623383481105</v>
      </c>
      <c r="AN196" s="1">
        <f t="shared" si="34"/>
        <v>0.16780623383481108</v>
      </c>
    </row>
    <row r="197" spans="2:40" x14ac:dyDescent="0.25">
      <c r="B197" s="1">
        <f t="shared" si="28"/>
        <v>810</v>
      </c>
      <c r="D197" s="1">
        <f t="shared" si="29"/>
        <v>0.99440242513139332</v>
      </c>
      <c r="F197" s="1">
        <f t="shared" si="19"/>
        <v>-0.11491103715908176</v>
      </c>
      <c r="I197" s="1">
        <f t="shared" si="20"/>
        <v>1.1290947594458522</v>
      </c>
      <c r="L197" s="1">
        <f t="shared" si="21"/>
        <v>10.048737134847887</v>
      </c>
      <c r="N197" s="1">
        <f t="shared" si="22"/>
        <v>7.8231915192558955E-46</v>
      </c>
      <c r="P197" s="1">
        <f t="shared" si="23"/>
        <v>9.0309254989072488E-184</v>
      </c>
      <c r="R197" s="1">
        <f t="shared" si="24"/>
        <v>7.1577957466252576E-48</v>
      </c>
      <c r="U197" s="1">
        <f t="shared" si="25"/>
        <v>1.0406112877297279E+98</v>
      </c>
      <c r="Y197" s="1">
        <f t="shared" si="26"/>
        <v>0</v>
      </c>
      <c r="AB197" s="1">
        <f t="shared" si="27"/>
        <v>0</v>
      </c>
      <c r="AF197" s="1">
        <f t="shared" si="30"/>
        <v>0.56138728349805134</v>
      </c>
      <c r="AH197" s="1">
        <f t="shared" si="31"/>
        <v>56.138728349805135</v>
      </c>
      <c r="AJ197" s="1">
        <f t="shared" si="32"/>
        <v>167.91244770629649</v>
      </c>
      <c r="AL197" s="1">
        <f t="shared" si="33"/>
        <v>167.91244770629649</v>
      </c>
      <c r="AN197" s="1">
        <f t="shared" si="34"/>
        <v>0.16791244770629649</v>
      </c>
    </row>
    <row r="198" spans="2:40" x14ac:dyDescent="0.25">
      <c r="B198" s="1">
        <f t="shared" si="28"/>
        <v>820</v>
      </c>
      <c r="D198" s="1">
        <f t="shared" si="29"/>
        <v>0.99433351543108039</v>
      </c>
      <c r="F198" s="1">
        <f t="shared" si="19"/>
        <v>-0.1156181886775895</v>
      </c>
      <c r="I198" s="1">
        <f t="shared" si="20"/>
        <v>1.1298821632587648</v>
      </c>
      <c r="L198" s="1">
        <f t="shared" si="21"/>
        <v>9.9858664144253968</v>
      </c>
      <c r="N198" s="1">
        <f t="shared" si="22"/>
        <v>2.7740619384998016E-45</v>
      </c>
      <c r="P198" s="1">
        <f t="shared" si="23"/>
        <v>1.4018595427195068E-181</v>
      </c>
      <c r="R198" s="1">
        <f t="shared" si="24"/>
        <v>2.5374209355707615E-47</v>
      </c>
      <c r="U198" s="1">
        <f t="shared" si="25"/>
        <v>1.0406112877297279E+98</v>
      </c>
      <c r="Y198" s="1">
        <f t="shared" si="26"/>
        <v>0</v>
      </c>
      <c r="AB198" s="1">
        <f t="shared" si="27"/>
        <v>0</v>
      </c>
      <c r="AF198" s="1">
        <f t="shared" si="30"/>
        <v>0.5617398517079808</v>
      </c>
      <c r="AH198" s="1">
        <f t="shared" si="31"/>
        <v>56.173985170798076</v>
      </c>
      <c r="AJ198" s="1">
        <f t="shared" si="32"/>
        <v>168.0179018069733</v>
      </c>
      <c r="AL198" s="1">
        <f t="shared" si="33"/>
        <v>168.0179018069733</v>
      </c>
      <c r="AN198" s="1">
        <f t="shared" si="34"/>
        <v>0.16801790180697329</v>
      </c>
    </row>
    <row r="199" spans="2:40" x14ac:dyDescent="0.25">
      <c r="B199" s="1">
        <f t="shared" si="28"/>
        <v>830</v>
      </c>
      <c r="D199" s="1">
        <f t="shared" si="29"/>
        <v>0.99426461050604431</v>
      </c>
      <c r="F199" s="1">
        <f t="shared" si="19"/>
        <v>-0.11632104128315521</v>
      </c>
      <c r="I199" s="1">
        <f t="shared" si="20"/>
        <v>1.1306646527173689</v>
      </c>
      <c r="L199" s="1">
        <f t="shared" si="21"/>
        <v>9.9241268422800708</v>
      </c>
      <c r="N199" s="1">
        <f t="shared" si="22"/>
        <v>9.541855306924824E-45</v>
      </c>
      <c r="P199" s="1">
        <f t="shared" si="23"/>
        <v>1.9271324281965352E-179</v>
      </c>
      <c r="R199" s="1">
        <f t="shared" si="24"/>
        <v>8.7254984270404635E-47</v>
      </c>
      <c r="U199" s="1">
        <f t="shared" si="25"/>
        <v>1.0406112877297279E+98</v>
      </c>
      <c r="Y199" s="1">
        <f t="shared" si="26"/>
        <v>0</v>
      </c>
      <c r="AB199" s="1">
        <f t="shared" si="27"/>
        <v>0</v>
      </c>
      <c r="AF199" s="1">
        <f t="shared" si="30"/>
        <v>0.56208992527349333</v>
      </c>
      <c r="AH199" s="1">
        <f t="shared" si="31"/>
        <v>56.208992527349331</v>
      </c>
      <c r="AJ199" s="1">
        <f t="shared" si="32"/>
        <v>168.1226097527896</v>
      </c>
      <c r="AL199" s="1">
        <f t="shared" si="33"/>
        <v>168.1226097527896</v>
      </c>
      <c r="AN199" s="1">
        <f t="shared" si="34"/>
        <v>0.16812260975278961</v>
      </c>
    </row>
    <row r="200" spans="2:40" x14ac:dyDescent="0.25">
      <c r="B200" s="1">
        <f t="shared" si="28"/>
        <v>840</v>
      </c>
      <c r="D200" s="1">
        <f t="shared" si="29"/>
        <v>0.994195710355954</v>
      </c>
      <c r="F200" s="1">
        <f t="shared" si="19"/>
        <v>-0.11701967243719455</v>
      </c>
      <c r="I200" s="1">
        <f t="shared" si="20"/>
        <v>1.1314423156270472</v>
      </c>
      <c r="L200" s="1">
        <f t="shared" si="21"/>
        <v>9.863484702945982</v>
      </c>
      <c r="N200" s="1">
        <f t="shared" si="22"/>
        <v>3.1871726077832415E-44</v>
      </c>
      <c r="P200" s="1">
        <f t="shared" si="23"/>
        <v>2.3563376476599682E-177</v>
      </c>
      <c r="R200" s="1">
        <f t="shared" si="24"/>
        <v>2.9136949522900158E-46</v>
      </c>
      <c r="U200" s="1">
        <f t="shared" si="25"/>
        <v>1.0406112877297279E+98</v>
      </c>
      <c r="Y200" s="1">
        <f t="shared" si="26"/>
        <v>0</v>
      </c>
      <c r="AB200" s="1">
        <f t="shared" si="27"/>
        <v>0</v>
      </c>
      <c r="AF200" s="1">
        <f t="shared" si="30"/>
        <v>0.56243754835580884</v>
      </c>
      <c r="AH200" s="1">
        <f t="shared" si="31"/>
        <v>56.243754835580887</v>
      </c>
      <c r="AJ200" s="1">
        <f t="shared" si="32"/>
        <v>168.22658475248517</v>
      </c>
      <c r="AL200" s="1">
        <f t="shared" si="33"/>
        <v>168.22658475248517</v>
      </c>
      <c r="AN200" s="1">
        <f t="shared" si="34"/>
        <v>0.16822658475248517</v>
      </c>
    </row>
    <row r="201" spans="2:40" x14ac:dyDescent="0.25">
      <c r="B201" s="1">
        <f t="shared" si="28"/>
        <v>850</v>
      </c>
      <c r="D201" s="1">
        <f t="shared" si="29"/>
        <v>0.99412681498047861</v>
      </c>
      <c r="F201" s="1">
        <f t="shared" si="19"/>
        <v>-0.11771415730242102</v>
      </c>
      <c r="I201" s="1">
        <f t="shared" si="20"/>
        <v>1.1322152371923073</v>
      </c>
      <c r="L201" s="1">
        <f t="shared" si="21"/>
        <v>9.8039076724730663</v>
      </c>
      <c r="N201" s="1">
        <f t="shared" si="22"/>
        <v>1.0348653486233237E-43</v>
      </c>
      <c r="P201" s="1">
        <f t="shared" si="23"/>
        <v>2.5732253869922204E-175</v>
      </c>
      <c r="R201" s="1">
        <f t="shared" si="24"/>
        <v>9.4580901394962565E-46</v>
      </c>
      <c r="U201" s="1">
        <f t="shared" si="25"/>
        <v>1.0406112877297279E+98</v>
      </c>
      <c r="Y201" s="1">
        <f t="shared" si="26"/>
        <v>0</v>
      </c>
      <c r="AB201" s="1">
        <f t="shared" si="27"/>
        <v>0</v>
      </c>
      <c r="AF201" s="1">
        <f t="shared" si="30"/>
        <v>0.56278276381117776</v>
      </c>
      <c r="AH201" s="1">
        <f t="shared" si="31"/>
        <v>56.278276381117777</v>
      </c>
      <c r="AJ201" s="1">
        <f t="shared" si="32"/>
        <v>168.32983962447986</v>
      </c>
      <c r="AL201" s="1">
        <f t="shared" si="33"/>
        <v>168.32983962447986</v>
      </c>
      <c r="AN201" s="1">
        <f t="shared" si="34"/>
        <v>0.16832983962447987</v>
      </c>
    </row>
    <row r="202" spans="2:40" x14ac:dyDescent="0.25">
      <c r="B202" s="1">
        <f t="shared" si="28"/>
        <v>860</v>
      </c>
      <c r="D202" s="1">
        <f t="shared" si="29"/>
        <v>0.99405792437928742</v>
      </c>
      <c r="F202" s="1">
        <f t="shared" si="19"/>
        <v>-0.1184045688372283</v>
      </c>
      <c r="I202" s="1">
        <f t="shared" si="20"/>
        <v>1.1329835001234907</v>
      </c>
      <c r="L202" s="1">
        <f t="shared" si="21"/>
        <v>9.7453647454268921</v>
      </c>
      <c r="N202" s="1">
        <f t="shared" si="22"/>
        <v>3.2696113632722963E-43</v>
      </c>
      <c r="P202" s="1">
        <f t="shared" si="23"/>
        <v>2.519674334212106E-173</v>
      </c>
      <c r="R202" s="1">
        <f t="shared" si="24"/>
        <v>2.9874240303321945E-45</v>
      </c>
      <c r="U202" s="1">
        <f t="shared" si="25"/>
        <v>1.0406112877297279E+98</v>
      </c>
      <c r="Y202" s="1">
        <f t="shared" si="26"/>
        <v>0</v>
      </c>
      <c r="AB202" s="1">
        <f t="shared" si="27"/>
        <v>0</v>
      </c>
      <c r="AF202" s="1">
        <f t="shared" si="30"/>
        <v>0.56312561324436861</v>
      </c>
      <c r="AH202" s="1">
        <f t="shared" si="31"/>
        <v>56.312561324436864</v>
      </c>
      <c r="AJ202" s="1">
        <f t="shared" si="32"/>
        <v>168.43238681287193</v>
      </c>
      <c r="AL202" s="1">
        <f t="shared" si="33"/>
        <v>168.43238681287193</v>
      </c>
      <c r="AN202" s="1">
        <f t="shared" si="34"/>
        <v>0.16843238681287195</v>
      </c>
    </row>
    <row r="203" spans="2:40" x14ac:dyDescent="0.25">
      <c r="B203" s="1">
        <f t="shared" si="28"/>
        <v>870</v>
      </c>
      <c r="D203" s="1">
        <f t="shared" si="29"/>
        <v>0.99398903855204934</v>
      </c>
      <c r="F203" s="1">
        <f t="shared" si="19"/>
        <v>-0.11909097788514773</v>
      </c>
      <c r="I203" s="1">
        <f t="shared" si="20"/>
        <v>1.1337471847379121</v>
      </c>
      <c r="L203" s="1">
        <f t="shared" si="21"/>
        <v>9.6878261665157712</v>
      </c>
      <c r="N203" s="1">
        <f t="shared" si="22"/>
        <v>1.0061234713470346E-42</v>
      </c>
      <c r="P203" s="1">
        <f t="shared" si="23"/>
        <v>2.2206009011978135E-171</v>
      </c>
      <c r="R203" s="1">
        <f t="shared" si="24"/>
        <v>9.1903737977104988E-45</v>
      </c>
      <c r="U203" s="1">
        <f t="shared" si="25"/>
        <v>1.0406112877297279E+98</v>
      </c>
      <c r="Y203" s="1">
        <f t="shared" si="26"/>
        <v>0</v>
      </c>
      <c r="AB203" s="1">
        <f t="shared" si="27"/>
        <v>0</v>
      </c>
      <c r="AF203" s="1">
        <f t="shared" si="30"/>
        <v>0.56346613705936499</v>
      </c>
      <c r="AH203" s="1">
        <f t="shared" si="31"/>
        <v>56.346613705936498</v>
      </c>
      <c r="AJ203" s="1">
        <f t="shared" si="32"/>
        <v>168.53423840260166</v>
      </c>
      <c r="AL203" s="1">
        <f t="shared" si="33"/>
        <v>168.53423840260166</v>
      </c>
      <c r="AN203" s="1">
        <f t="shared" si="34"/>
        <v>0.16853423840260168</v>
      </c>
    </row>
    <row r="204" spans="2:40" x14ac:dyDescent="0.25">
      <c r="B204" s="1">
        <f t="shared" si="28"/>
        <v>880</v>
      </c>
      <c r="D204" s="1">
        <f t="shared" si="29"/>
        <v>0.99392015749843377</v>
      </c>
      <c r="F204" s="1">
        <f t="shared" si="19"/>
        <v>-0.11977345325969173</v>
      </c>
      <c r="I204" s="1">
        <f t="shared" si="20"/>
        <v>1.1345063690557882</v>
      </c>
      <c r="L204" s="1">
        <f t="shared" si="21"/>
        <v>9.6312633665025498</v>
      </c>
      <c r="N204" s="1">
        <f t="shared" si="22"/>
        <v>3.0181410996436735E-42</v>
      </c>
      <c r="P204" s="1">
        <f t="shared" si="23"/>
        <v>1.7677267382859905E-169</v>
      </c>
      <c r="R204" s="1">
        <f t="shared" si="24"/>
        <v>2.7561485427853762E-44</v>
      </c>
      <c r="U204" s="1">
        <f t="shared" si="25"/>
        <v>1.0406112877297279E+98</v>
      </c>
      <c r="Y204" s="1">
        <f t="shared" si="26"/>
        <v>0</v>
      </c>
      <c r="AB204" s="1">
        <f t="shared" si="27"/>
        <v>0</v>
      </c>
      <c r="AF204" s="1">
        <f t="shared" si="30"/>
        <v>0.56380437450745258</v>
      </c>
      <c r="AH204" s="1">
        <f t="shared" si="31"/>
        <v>56.380437450745255</v>
      </c>
      <c r="AJ204" s="1">
        <f t="shared" si="32"/>
        <v>168.63540613383424</v>
      </c>
      <c r="AL204" s="1">
        <f t="shared" si="33"/>
        <v>168.63540613383424</v>
      </c>
      <c r="AN204" s="1">
        <f t="shared" si="34"/>
        <v>0.16863540613383424</v>
      </c>
    </row>
    <row r="205" spans="2:40" x14ac:dyDescent="0.25">
      <c r="B205" s="1">
        <f t="shared" si="28"/>
        <v>890</v>
      </c>
      <c r="D205" s="1">
        <f t="shared" si="29"/>
        <v>0.99385128121810984</v>
      </c>
      <c r="F205" s="1">
        <f t="shared" si="19"/>
        <v>-0.1204520618248703</v>
      </c>
      <c r="I205" s="1">
        <f t="shared" si="20"/>
        <v>1.1352611288912735</v>
      </c>
      <c r="L205" s="1">
        <f t="shared" si="21"/>
        <v>9.5756489020872415</v>
      </c>
      <c r="N205" s="1">
        <f t="shared" si="22"/>
        <v>8.8335166734083301E-42</v>
      </c>
      <c r="P205" s="1">
        <f t="shared" si="23"/>
        <v>1.2754610918027379E-167</v>
      </c>
      <c r="R205" s="1">
        <f t="shared" si="24"/>
        <v>8.0645089094098412E-44</v>
      </c>
      <c r="U205" s="1">
        <f t="shared" si="25"/>
        <v>1.0406112877297279E+98</v>
      </c>
      <c r="Y205" s="1">
        <f t="shared" si="26"/>
        <v>0</v>
      </c>
      <c r="AB205" s="1">
        <f t="shared" si="27"/>
        <v>0</v>
      </c>
      <c r="AF205" s="1">
        <f t="shared" si="30"/>
        <v>0.56414036373285492</v>
      </c>
      <c r="AH205" s="1">
        <f t="shared" si="31"/>
        <v>56.414036373285491</v>
      </c>
      <c r="AJ205" s="1">
        <f t="shared" si="32"/>
        <v>168.73590141560962</v>
      </c>
      <c r="AL205" s="1">
        <f t="shared" si="33"/>
        <v>168.73590141560962</v>
      </c>
      <c r="AN205" s="1">
        <f t="shared" si="34"/>
        <v>0.16873590141560962</v>
      </c>
    </row>
    <row r="206" spans="2:40" x14ac:dyDescent="0.25">
      <c r="B206" s="1">
        <f t="shared" si="28"/>
        <v>900</v>
      </c>
      <c r="D206" s="1">
        <f t="shared" si="29"/>
        <v>0.99378240971074672</v>
      </c>
      <c r="F206" s="1">
        <f t="shared" si="19"/>
        <v>-0.12112686857164759</v>
      </c>
      <c r="I206" s="1">
        <f t="shared" si="20"/>
        <v>1.1360115379389086</v>
      </c>
      <c r="L206" s="1">
        <f t="shared" si="21"/>
        <v>9.5209563994729987</v>
      </c>
      <c r="N206" s="1">
        <f t="shared" si="22"/>
        <v>2.5245834207925191E-41</v>
      </c>
      <c r="P206" s="1">
        <f t="shared" si="23"/>
        <v>8.3685369870448701E-166</v>
      </c>
      <c r="R206" s="1">
        <f t="shared" si="24"/>
        <v>2.3041739234293054E-43</v>
      </c>
      <c r="U206" s="1">
        <f t="shared" si="25"/>
        <v>1.0406112877297279E+98</v>
      </c>
      <c r="Y206" s="1">
        <f t="shared" si="26"/>
        <v>0</v>
      </c>
      <c r="AB206" s="1">
        <f t="shared" si="27"/>
        <v>0</v>
      </c>
      <c r="AF206" s="1">
        <f t="shared" si="30"/>
        <v>0.56447414181607003</v>
      </c>
      <c r="AH206" s="1">
        <f t="shared" si="31"/>
        <v>56.447414181607002</v>
      </c>
      <c r="AJ206" s="1">
        <f t="shared" si="32"/>
        <v>168.83573533880457</v>
      </c>
      <c r="AL206" s="1">
        <f t="shared" si="33"/>
        <v>168.83573533880457</v>
      </c>
      <c r="AN206" s="1">
        <f t="shared" si="34"/>
        <v>0.16883573533880458</v>
      </c>
    </row>
    <row r="207" spans="2:40" x14ac:dyDescent="0.25">
      <c r="B207" s="1">
        <f t="shared" si="28"/>
        <v>910</v>
      </c>
      <c r="D207" s="1">
        <f t="shared" si="29"/>
        <v>0.99371354297601366</v>
      </c>
      <c r="F207" s="1">
        <f t="shared" si="19"/>
        <v>-0.12179793669058603</v>
      </c>
      <c r="I207" s="1">
        <f t="shared" si="20"/>
        <v>1.1367576678557612</v>
      </c>
      <c r="L207" s="1">
        <f t="shared" si="21"/>
        <v>9.4671605013516267</v>
      </c>
      <c r="N207" s="1">
        <f t="shared" si="22"/>
        <v>7.0509613307156496E-41</v>
      </c>
      <c r="P207" s="1">
        <f t="shared" si="23"/>
        <v>5.0086692049929597E-164</v>
      </c>
      <c r="R207" s="1">
        <f t="shared" si="24"/>
        <v>6.4336159059196903E-43</v>
      </c>
      <c r="U207" s="1">
        <f t="shared" si="25"/>
        <v>1.0406112877297279E+98</v>
      </c>
      <c r="Y207" s="1">
        <f t="shared" si="26"/>
        <v>0</v>
      </c>
      <c r="AB207" s="1">
        <f t="shared" si="27"/>
        <v>0</v>
      </c>
      <c r="AF207" s="1">
        <f t="shared" si="30"/>
        <v>0.56480574481504953</v>
      </c>
      <c r="AH207" s="1">
        <f t="shared" si="31"/>
        <v>56.480574481504952</v>
      </c>
      <c r="AJ207" s="1">
        <f t="shared" si="32"/>
        <v>168.93491868844947</v>
      </c>
      <c r="AL207" s="1">
        <f t="shared" si="33"/>
        <v>168.93491868844947</v>
      </c>
      <c r="AN207" s="1">
        <f t="shared" si="34"/>
        <v>0.16893491868844948</v>
      </c>
    </row>
    <row r="208" spans="2:40" x14ac:dyDescent="0.25">
      <c r="B208" s="1">
        <f t="shared" si="28"/>
        <v>920</v>
      </c>
      <c r="D208" s="1">
        <f t="shared" si="29"/>
        <v>0.99364468101358006</v>
      </c>
      <c r="F208" s="1">
        <f t="shared" si="19"/>
        <v>-0.12246532764090746</v>
      </c>
      <c r="I208" s="1">
        <f t="shared" si="20"/>
        <v>1.1374995883395149</v>
      </c>
      <c r="L208" s="1">
        <f t="shared" si="21"/>
        <v>9.4142368170664064</v>
      </c>
      <c r="N208" s="1">
        <f t="shared" si="22"/>
        <v>1.9259063767704198E-40</v>
      </c>
      <c r="P208" s="1">
        <f t="shared" si="23"/>
        <v>2.7427533478842327E-162</v>
      </c>
      <c r="R208" s="1">
        <f t="shared" si="24"/>
        <v>1.7568037878711363E-42</v>
      </c>
      <c r="U208" s="1">
        <f t="shared" si="25"/>
        <v>1.0406112877297279E+98</v>
      </c>
      <c r="Y208" s="1">
        <f t="shared" si="26"/>
        <v>0</v>
      </c>
      <c r="AB208" s="1">
        <f t="shared" si="27"/>
        <v>0</v>
      </c>
      <c r="AF208" s="1">
        <f t="shared" si="30"/>
        <v>0.56513520780434801</v>
      </c>
      <c r="AH208" s="1">
        <f t="shared" si="31"/>
        <v>56.513520780434803</v>
      </c>
      <c r="AJ208" s="1">
        <f t="shared" si="32"/>
        <v>169.03346195543804</v>
      </c>
      <c r="AL208" s="1">
        <f t="shared" si="33"/>
        <v>169.03346195543804</v>
      </c>
      <c r="AN208" s="1">
        <f t="shared" si="34"/>
        <v>0.16903346195543806</v>
      </c>
    </row>
    <row r="209" spans="2:40" x14ac:dyDescent="0.25">
      <c r="B209" s="1">
        <f t="shared" si="28"/>
        <v>930</v>
      </c>
      <c r="D209" s="1">
        <f t="shared" si="29"/>
        <v>0.99357582382311493</v>
      </c>
      <c r="F209" s="1">
        <f t="shared" si="19"/>
        <v>-0.12312910121618539</v>
      </c>
      <c r="I209" s="1">
        <f t="shared" si="20"/>
        <v>1.1382373672027533</v>
      </c>
      <c r="L209" s="1">
        <f t="shared" si="21"/>
        <v>9.362161875729587</v>
      </c>
      <c r="N209" s="1">
        <f t="shared" si="22"/>
        <v>5.1482775738004921E-40</v>
      </c>
      <c r="P209" s="1">
        <f t="shared" si="23"/>
        <v>1.3781227608680819E-160</v>
      </c>
      <c r="R209" s="1">
        <f t="shared" si="24"/>
        <v>4.6949542007398648E-42</v>
      </c>
      <c r="U209" s="1">
        <f t="shared" si="25"/>
        <v>1.0406112877297279E+98</v>
      </c>
      <c r="Y209" s="1">
        <f t="shared" si="26"/>
        <v>0</v>
      </c>
      <c r="AB209" s="1">
        <f t="shared" si="27"/>
        <v>0</v>
      </c>
      <c r="AF209" s="1">
        <f t="shared" si="30"/>
        <v>0.56546256491236446</v>
      </c>
      <c r="AH209" s="1">
        <f t="shared" si="31"/>
        <v>56.546256491236448</v>
      </c>
      <c r="AJ209" s="1">
        <f t="shared" si="32"/>
        <v>169.13137534766631</v>
      </c>
      <c r="AL209" s="1">
        <f t="shared" si="33"/>
        <v>169.13137534766631</v>
      </c>
      <c r="AN209" s="1">
        <f t="shared" si="34"/>
        <v>0.16913137534766631</v>
      </c>
    </row>
    <row r="210" spans="2:40" x14ac:dyDescent="0.25">
      <c r="B210" s="1">
        <f t="shared" si="28"/>
        <v>940</v>
      </c>
      <c r="D210" s="1">
        <f t="shared" si="29"/>
        <v>0.9935069714042879</v>
      </c>
      <c r="F210" s="1">
        <f t="shared" si="19"/>
        <v>-0.12378931560686665</v>
      </c>
      <c r="I210" s="1">
        <f t="shared" si="20"/>
        <v>1.1389710704436573</v>
      </c>
      <c r="L210" s="1">
        <f t="shared" si="21"/>
        <v>9.3109130820897335</v>
      </c>
      <c r="N210" s="1">
        <f t="shared" si="22"/>
        <v>1.3478052303011841E-39</v>
      </c>
      <c r="P210" s="1">
        <f t="shared" si="23"/>
        <v>6.3711521885907134E-159</v>
      </c>
      <c r="R210" s="1">
        <f t="shared" si="24"/>
        <v>1.2287906197601639E-41</v>
      </c>
      <c r="U210" s="1">
        <f t="shared" si="25"/>
        <v>1.0406112877297279E+98</v>
      </c>
      <c r="Y210" s="1">
        <f t="shared" si="26"/>
        <v>0</v>
      </c>
      <c r="AB210" s="1">
        <f t="shared" si="27"/>
        <v>0</v>
      </c>
      <c r="AF210" s="1">
        <f t="shared" si="30"/>
        <v>0.56578784935678894</v>
      </c>
      <c r="AH210" s="1">
        <f t="shared" si="31"/>
        <v>56.578784935678897</v>
      </c>
      <c r="AJ210" s="1">
        <f t="shared" si="32"/>
        <v>169.22866880063475</v>
      </c>
      <c r="AL210" s="1">
        <f t="shared" si="33"/>
        <v>169.22866880063475</v>
      </c>
      <c r="AN210" s="1">
        <f t="shared" si="34"/>
        <v>0.16922866880063475</v>
      </c>
    </row>
    <row r="211" spans="2:40" x14ac:dyDescent="0.25">
      <c r="B211" s="1">
        <f t="shared" si="28"/>
        <v>950</v>
      </c>
      <c r="D211" s="1">
        <f t="shared" si="29"/>
        <v>0.9934381237567681</v>
      </c>
      <c r="F211" s="1">
        <f t="shared" si="19"/>
        <v>-0.12444602745980786</v>
      </c>
      <c r="I211" s="1">
        <f t="shared" si="20"/>
        <v>1.1397007623133319</v>
      </c>
      <c r="L211" s="1">
        <f t="shared" si="21"/>
        <v>9.2604686749602898</v>
      </c>
      <c r="N211" s="1">
        <f t="shared" si="22"/>
        <v>3.4579333238612434E-39</v>
      </c>
      <c r="P211" s="1">
        <f t="shared" si="23"/>
        <v>2.7171834348344338E-157</v>
      </c>
      <c r="R211" s="1">
        <f t="shared" si="24"/>
        <v>3.1517280398423592E-41</v>
      </c>
      <c r="U211" s="1">
        <f t="shared" si="25"/>
        <v>1.0406112877297279E+98</v>
      </c>
      <c r="Y211" s="1">
        <f t="shared" si="26"/>
        <v>0</v>
      </c>
      <c r="AB211" s="1">
        <f t="shared" si="27"/>
        <v>0</v>
      </c>
      <c r="AF211" s="1">
        <f t="shared" si="30"/>
        <v>0.56611109347835742</v>
      </c>
      <c r="AH211" s="1">
        <f t="shared" si="31"/>
        <v>56.611109347835743</v>
      </c>
      <c r="AJ211" s="1">
        <f t="shared" si="32"/>
        <v>169.32535198754456</v>
      </c>
      <c r="AL211" s="1">
        <f t="shared" si="33"/>
        <v>169.32535198754456</v>
      </c>
      <c r="AN211" s="1">
        <f t="shared" si="34"/>
        <v>0.16932535198754456</v>
      </c>
    </row>
    <row r="212" spans="2:40" x14ac:dyDescent="0.25">
      <c r="B212" s="1">
        <f t="shared" si="28"/>
        <v>960</v>
      </c>
      <c r="D212" s="1">
        <f t="shared" si="29"/>
        <v>0.99336928088022503</v>
      </c>
      <c r="F212" s="1">
        <f t="shared" si="19"/>
        <v>-0.12509929193499883</v>
      </c>
      <c r="I212" s="1">
        <f t="shared" si="20"/>
        <v>1.1404265053799509</v>
      </c>
      <c r="L212" s="1">
        <f t="shared" si="21"/>
        <v>9.2108076880355263</v>
      </c>
      <c r="N212" s="1">
        <f t="shared" si="22"/>
        <v>8.6997019578197043E-39</v>
      </c>
      <c r="P212" s="1">
        <f t="shared" si="23"/>
        <v>1.0717296567076065E-155</v>
      </c>
      <c r="R212" s="1">
        <f t="shared" si="24"/>
        <v>7.927164889246829E-41</v>
      </c>
      <c r="U212" s="1">
        <f t="shared" si="25"/>
        <v>1.0406112877297279E+98</v>
      </c>
      <c r="Y212" s="1">
        <f t="shared" si="26"/>
        <v>0</v>
      </c>
      <c r="AB212" s="1">
        <f t="shared" si="27"/>
        <v>0</v>
      </c>
      <c r="AF212" s="1">
        <f t="shared" si="30"/>
        <v>0.56643232877301497</v>
      </c>
      <c r="AH212" s="1">
        <f t="shared" si="31"/>
        <v>56.6432328773015</v>
      </c>
      <c r="AJ212" s="1">
        <f t="shared" si="32"/>
        <v>169.42143432891771</v>
      </c>
      <c r="AL212" s="1">
        <f t="shared" si="33"/>
        <v>169.42143432891771</v>
      </c>
      <c r="AN212" s="1">
        <f t="shared" si="34"/>
        <v>0.16942143432891771</v>
      </c>
    </row>
    <row r="213" spans="2:40" x14ac:dyDescent="0.25">
      <c r="B213" s="1">
        <f t="shared" si="28"/>
        <v>970</v>
      </c>
      <c r="D213" s="1">
        <f t="shared" si="29"/>
        <v>0.99330044277432794</v>
      </c>
      <c r="F213" s="1">
        <f t="shared" ref="F213:F244" si="35">($M$18-$M$14-($I$36*B213))/POWER(4*$S$36*B213,0.5)</f>
        <v>-0.12574916275963383</v>
      </c>
      <c r="I213" s="1">
        <f t="shared" si="20"/>
        <v>1.1411483605899047</v>
      </c>
      <c r="L213" s="1">
        <f t="shared" ref="L213:L244" si="36">($M$18-(B213*$I$36))/POWER(4*$S$36*B213,0.5)</f>
        <v>9.1619099129334991</v>
      </c>
      <c r="N213" s="1">
        <f t="shared" si="22"/>
        <v>2.1475985901582486E-38</v>
      </c>
      <c r="P213" s="1">
        <f t="shared" si="23"/>
        <v>3.9189175939562944E-154</v>
      </c>
      <c r="R213" s="1">
        <f t="shared" si="24"/>
        <v>1.9563567391941562E-40</v>
      </c>
      <c r="U213" s="1">
        <f t="shared" ref="U213:U244" si="37">(2+$I$36/$C$42)*EXP(IF(($C$42*($C$42+$I$36)*B213+($C$42+$I$36)*$M$18)/$S$36&gt;225,225,($C$42*($C$42+$I$36)*B213+($C$42+$I$36)*$M$18)/$S$36))</f>
        <v>1.0406112877297279E+98</v>
      </c>
      <c r="Y213" s="1">
        <f t="shared" si="26"/>
        <v>0</v>
      </c>
      <c r="AB213" s="1">
        <f t="shared" si="27"/>
        <v>0</v>
      </c>
      <c r="AF213" s="1">
        <f t="shared" si="30"/>
        <v>0.56675158592257535</v>
      </c>
      <c r="AH213" s="1">
        <f t="shared" si="31"/>
        <v>56.675158592257532</v>
      </c>
      <c r="AJ213" s="1">
        <f t="shared" si="32"/>
        <v>169.51692500176728</v>
      </c>
      <c r="AL213" s="1">
        <f t="shared" si="33"/>
        <v>169.51692500176728</v>
      </c>
      <c r="AN213" s="1">
        <f t="shared" si="34"/>
        <v>0.16951692500176729</v>
      </c>
    </row>
    <row r="214" spans="2:40" x14ac:dyDescent="0.25">
      <c r="B214" s="1">
        <f t="shared" si="28"/>
        <v>980</v>
      </c>
      <c r="D214" s="1">
        <f t="shared" si="29"/>
        <v>0.99323160943874633</v>
      </c>
      <c r="F214" s="1">
        <f t="shared" si="35"/>
        <v>-0.12639569227968053</v>
      </c>
      <c r="I214" s="1">
        <f t="shared" si="20"/>
        <v>1.1418663873261197</v>
      </c>
      <c r="L214" s="1">
        <f t="shared" si="36"/>
        <v>9.113755864317957</v>
      </c>
      <c r="N214" s="1">
        <f t="shared" si="22"/>
        <v>5.2049288753544601E-38</v>
      </c>
      <c r="P214" s="1">
        <f t="shared" si="23"/>
        <v>1.3315824567567958E-152</v>
      </c>
      <c r="R214" s="1">
        <f t="shared" si="24"/>
        <v>4.7401402234906964E-40</v>
      </c>
      <c r="U214" s="1">
        <f t="shared" si="37"/>
        <v>1.0406112877297279E+98</v>
      </c>
      <c r="Y214" s="1">
        <f t="shared" si="26"/>
        <v>0</v>
      </c>
      <c r="AB214" s="1">
        <f t="shared" si="27"/>
        <v>0</v>
      </c>
      <c r="AF214" s="1">
        <f t="shared" si="30"/>
        <v>0.56706889482396439</v>
      </c>
      <c r="AH214" s="1">
        <f t="shared" si="31"/>
        <v>56.706889482396441</v>
      </c>
      <c r="AJ214" s="1">
        <f t="shared" si="32"/>
        <v>169.61183294834424</v>
      </c>
      <c r="AL214" s="1">
        <f t="shared" si="33"/>
        <v>169.61183294834424</v>
      </c>
      <c r="AN214" s="1">
        <f t="shared" si="34"/>
        <v>0.16961183294834425</v>
      </c>
    </row>
    <row r="215" spans="2:40" x14ac:dyDescent="0.25">
      <c r="B215" s="1">
        <f t="shared" si="28"/>
        <v>990</v>
      </c>
      <c r="D215" s="1">
        <f t="shared" si="29"/>
        <v>0.99316278087314958</v>
      </c>
      <c r="F215" s="1">
        <f t="shared" si="35"/>
        <v>-0.12703893150908702</v>
      </c>
      <c r="I215" s="1">
        <f t="shared" si="20"/>
        <v>1.1425806434637074</v>
      </c>
      <c r="L215" s="1">
        <f t="shared" si="36"/>
        <v>9.0663267469623623</v>
      </c>
      <c r="N215" s="1">
        <f t="shared" si="22"/>
        <v>1.2391710046284892E-37</v>
      </c>
      <c r="P215" s="1">
        <f t="shared" si="23"/>
        <v>4.2136343633778503E-151</v>
      </c>
      <c r="R215" s="1">
        <f t="shared" si="24"/>
        <v>1.1282078269665616E-39</v>
      </c>
      <c r="U215" s="1">
        <f t="shared" si="37"/>
        <v>1.0406112877297279E+98</v>
      </c>
      <c r="Y215" s="1">
        <f t="shared" si="26"/>
        <v>0</v>
      </c>
      <c r="AB215" s="1">
        <f t="shared" si="27"/>
        <v>0</v>
      </c>
      <c r="AF215" s="1">
        <f t="shared" si="30"/>
        <v>0.56738428461712409</v>
      </c>
      <c r="AH215" s="1">
        <f t="shared" si="31"/>
        <v>56.73842846171241</v>
      </c>
      <c r="AJ215" s="1">
        <f t="shared" si="32"/>
        <v>169.70616688448374</v>
      </c>
      <c r="AL215" s="1">
        <f t="shared" si="33"/>
        <v>169.70616688448374</v>
      </c>
      <c r="AN215" s="1">
        <f t="shared" si="34"/>
        <v>0.16970616688448376</v>
      </c>
    </row>
    <row r="216" spans="2:40" x14ac:dyDescent="0.25">
      <c r="B216" s="1">
        <f t="shared" si="28"/>
        <v>1000</v>
      </c>
      <c r="D216" s="1">
        <f t="shared" si="29"/>
        <v>0.99309395707720705</v>
      </c>
      <c r="F216" s="1">
        <f t="shared" si="35"/>
        <v>-0.12767893017675749</v>
      </c>
      <c r="I216" s="1">
        <f t="shared" si="20"/>
        <v>1.1432911854230929</v>
      </c>
      <c r="L216" s="1">
        <f t="shared" si="36"/>
        <v>9.0196044246295131</v>
      </c>
      <c r="N216" s="1">
        <f t="shared" si="22"/>
        <v>2.8995765198645743E-37</v>
      </c>
      <c r="P216" s="1">
        <f t="shared" si="23"/>
        <v>1.2443989879049027E-149</v>
      </c>
      <c r="R216" s="1">
        <f t="shared" si="24"/>
        <v>2.6392099605729649E-39</v>
      </c>
      <c r="U216" s="1">
        <f t="shared" si="37"/>
        <v>1.0406112877297279E+98</v>
      </c>
      <c r="Y216" s="1">
        <f t="shared" si="26"/>
        <v>0</v>
      </c>
      <c r="AB216" s="1">
        <f t="shared" si="27"/>
        <v>0</v>
      </c>
      <c r="AF216" s="1">
        <f t="shared" si="30"/>
        <v>0.56769778371165514</v>
      </c>
      <c r="AH216" s="1">
        <f t="shared" si="31"/>
        <v>56.769778371165515</v>
      </c>
      <c r="AJ216" s="1">
        <f t="shared" si="32"/>
        <v>169.79993530757378</v>
      </c>
      <c r="AL216" s="1">
        <f t="shared" si="33"/>
        <v>169.79993530757378</v>
      </c>
      <c r="AN216" s="1">
        <f t="shared" si="34"/>
        <v>0.16979993530757378</v>
      </c>
    </row>
    <row r="217" spans="2:40" x14ac:dyDescent="0.25">
      <c r="B217" s="1">
        <f t="shared" si="28"/>
        <v>1010</v>
      </c>
      <c r="D217" s="1">
        <f t="shared" si="29"/>
        <v>0.99302513805058845</v>
      </c>
      <c r="F217" s="1">
        <f t="shared" si="35"/>
        <v>-0.12831573677141916</v>
      </c>
      <c r="I217" s="1">
        <f t="shared" si="20"/>
        <v>1.1439980682207569</v>
      </c>
      <c r="L217" s="1">
        <f t="shared" si="36"/>
        <v>8.9735713906496155</v>
      </c>
      <c r="N217" s="1">
        <f t="shared" si="22"/>
        <v>6.6718725000755493E-37</v>
      </c>
      <c r="P217" s="1">
        <f t="shared" si="23"/>
        <v>3.4369002415032454E-148</v>
      </c>
      <c r="R217" s="1">
        <f t="shared" si="24"/>
        <v>6.0711174352522899E-39</v>
      </c>
      <c r="U217" s="1">
        <f t="shared" si="37"/>
        <v>1.0406112877297279E+98</v>
      </c>
      <c r="Y217" s="1">
        <f t="shared" si="26"/>
        <v>0</v>
      </c>
      <c r="AB217" s="1">
        <f t="shared" si="27"/>
        <v>0</v>
      </c>
      <c r="AF217" s="1">
        <f t="shared" si="30"/>
        <v>0.56800941981226183</v>
      </c>
      <c r="AH217" s="1">
        <f t="shared" si="31"/>
        <v>56.800941981226181</v>
      </c>
      <c r="AJ217" s="1">
        <f t="shared" si="32"/>
        <v>169.89314650416603</v>
      </c>
      <c r="AL217" s="1">
        <f t="shared" si="33"/>
        <v>169.89314650416603</v>
      </c>
      <c r="AN217" s="1">
        <f t="shared" si="34"/>
        <v>0.16989314650416604</v>
      </c>
    </row>
    <row r="218" spans="2:40" x14ac:dyDescent="0.25">
      <c r="B218" s="1">
        <f t="shared" si="28"/>
        <v>1020</v>
      </c>
      <c r="D218" s="1">
        <f t="shared" si="29"/>
        <v>0.99295632379296306</v>
      </c>
      <c r="F218" s="1">
        <f t="shared" si="35"/>
        <v>-0.12894939858449495</v>
      </c>
      <c r="I218" s="1">
        <f t="shared" si="20"/>
        <v>1.1447013455177262</v>
      </c>
      <c r="L218" s="1">
        <f t="shared" si="36"/>
        <v>8.9282107400883657</v>
      </c>
      <c r="N218" s="1">
        <f t="shared" si="22"/>
        <v>1.5103755299510717E-36</v>
      </c>
      <c r="P218" s="1">
        <f t="shared" si="23"/>
        <v>8.8947596934710667E-147</v>
      </c>
      <c r="R218" s="1">
        <f t="shared" si="24"/>
        <v>1.3740020805188664E-38</v>
      </c>
      <c r="U218" s="1">
        <f t="shared" si="37"/>
        <v>1.0406112877297279E+98</v>
      </c>
      <c r="Y218" s="1">
        <f t="shared" si="26"/>
        <v>0</v>
      </c>
      <c r="AB218" s="1">
        <f t="shared" si="27"/>
        <v>0</v>
      </c>
      <c r="AF218" s="1">
        <f t="shared" si="30"/>
        <v>0.56831921994306989</v>
      </c>
      <c r="AH218" s="1">
        <f t="shared" si="31"/>
        <v>56.831921994306988</v>
      </c>
      <c r="AJ218" s="1">
        <f t="shared" si="32"/>
        <v>169.98580855724919</v>
      </c>
      <c r="AL218" s="1">
        <f t="shared" si="33"/>
        <v>169.98580855724919</v>
      </c>
      <c r="AN218" s="1">
        <f t="shared" si="34"/>
        <v>0.16998580855724921</v>
      </c>
    </row>
    <row r="219" spans="2:40" x14ac:dyDescent="0.25">
      <c r="B219" s="1">
        <f t="shared" si="28"/>
        <v>1030</v>
      </c>
      <c r="D219" s="1">
        <f t="shared" si="29"/>
        <v>0.99288751430400057</v>
      </c>
      <c r="F219" s="1">
        <f t="shared" si="35"/>
        <v>-0.12957996175108927</v>
      </c>
      <c r="I219" s="1">
        <f t="shared" si="20"/>
        <v>1.1454010696659289</v>
      </c>
      <c r="L219" s="1">
        <f t="shared" si="36"/>
        <v>8.8835061434044285</v>
      </c>
      <c r="N219" s="1">
        <f t="shared" si="22"/>
        <v>3.365519206268039E-36</v>
      </c>
      <c r="P219" s="1">
        <f t="shared" si="23"/>
        <v>2.1611447035965902E-145</v>
      </c>
      <c r="R219" s="1">
        <f t="shared" si="24"/>
        <v>3.0608081075247185E-38</v>
      </c>
      <c r="U219" s="1">
        <f t="shared" si="37"/>
        <v>1.0406112877297279E+98</v>
      </c>
      <c r="Y219" s="1">
        <f t="shared" si="26"/>
        <v>0</v>
      </c>
      <c r="AB219" s="1">
        <f t="shared" si="27"/>
        <v>0</v>
      </c>
      <c r="AF219" s="1">
        <f t="shared" si="30"/>
        <v>0.56862721047087372</v>
      </c>
      <c r="AH219" s="1">
        <f t="shared" si="31"/>
        <v>56.862721047087369</v>
      </c>
      <c r="AJ219" s="1">
        <f t="shared" si="32"/>
        <v>170.07792935320248</v>
      </c>
      <c r="AL219" s="1">
        <f t="shared" si="33"/>
        <v>170.07792935320248</v>
      </c>
      <c r="AN219" s="1">
        <f t="shared" si="34"/>
        <v>0.17007792935320248</v>
      </c>
    </row>
    <row r="220" spans="2:40" x14ac:dyDescent="0.25">
      <c r="B220" s="1">
        <f t="shared" si="28"/>
        <v>1040</v>
      </c>
      <c r="D220" s="1">
        <f t="shared" si="29"/>
        <v>0.99281870958337037</v>
      </c>
      <c r="F220" s="1">
        <f t="shared" si="35"/>
        <v>-0.13020747128918744</v>
      </c>
      <c r="I220" s="1">
        <f t="shared" si="20"/>
        <v>1.1460972917525327</v>
      </c>
      <c r="L220" s="1">
        <f t="shared" si="36"/>
        <v>8.839441821503053</v>
      </c>
      <c r="N220" s="1">
        <f t="shared" si="22"/>
        <v>7.3849423955129575E-36</v>
      </c>
      <c r="P220" s="1">
        <f t="shared" si="23"/>
        <v>4.938630163554858E-144</v>
      </c>
      <c r="R220" s="1">
        <f t="shared" si="24"/>
        <v>6.7144856214380903E-38</v>
      </c>
      <c r="U220" s="1">
        <f t="shared" si="37"/>
        <v>1.0406112877297279E+98</v>
      </c>
      <c r="Y220" s="1">
        <f t="shared" si="26"/>
        <v>0</v>
      </c>
      <c r="AB220" s="1">
        <f t="shared" si="27"/>
        <v>0</v>
      </c>
      <c r="AF220" s="1">
        <f t="shared" si="30"/>
        <v>0.56893341712737255</v>
      </c>
      <c r="AH220" s="1">
        <f t="shared" si="31"/>
        <v>56.893341712737254</v>
      </c>
      <c r="AJ220" s="1">
        <f t="shared" si="32"/>
        <v>170.16951658844638</v>
      </c>
      <c r="AL220" s="1">
        <f t="shared" si="33"/>
        <v>170.16951658844638</v>
      </c>
      <c r="AN220" s="1">
        <f t="shared" si="34"/>
        <v>0.1701695165884464</v>
      </c>
    </row>
    <row r="221" spans="2:40" x14ac:dyDescent="0.25">
      <c r="B221" s="1">
        <f t="shared" si="28"/>
        <v>1050</v>
      </c>
      <c r="D221" s="1">
        <f t="shared" si="29"/>
        <v>0.99274990963074217</v>
      </c>
      <c r="F221" s="1">
        <f t="shared" si="35"/>
        <v>-0.13083197113716274</v>
      </c>
      <c r="I221" s="1">
        <f t="shared" si="20"/>
        <v>1.1467900616423672</v>
      </c>
      <c r="L221" s="1">
        <f t="shared" si="36"/>
        <v>8.7960025220991813</v>
      </c>
      <c r="N221" s="1">
        <f t="shared" si="22"/>
        <v>1.5964690198378082E-35</v>
      </c>
      <c r="P221" s="1">
        <f t="shared" si="23"/>
        <v>1.0633170315984977E-142</v>
      </c>
      <c r="R221" s="1">
        <f t="shared" si="24"/>
        <v>1.4511348223671186E-37</v>
      </c>
      <c r="U221" s="1">
        <f t="shared" si="37"/>
        <v>1.0406112877297279E+98</v>
      </c>
      <c r="Y221" s="1">
        <f t="shared" si="26"/>
        <v>0</v>
      </c>
      <c r="AB221" s="1">
        <f t="shared" si="27"/>
        <v>0</v>
      </c>
      <c r="AF221" s="1">
        <f t="shared" si="30"/>
        <v>0.5692378650304466</v>
      </c>
      <c r="AH221" s="1">
        <f t="shared" si="31"/>
        <v>56.92378650304466</v>
      </c>
      <c r="AJ221" s="1">
        <f t="shared" si="32"/>
        <v>170.26057777580652</v>
      </c>
      <c r="AL221" s="1">
        <f t="shared" si="33"/>
        <v>170.26057777580652</v>
      </c>
      <c r="AN221" s="1">
        <f t="shared" si="34"/>
        <v>0.17026057777580653</v>
      </c>
    </row>
    <row r="222" spans="2:40" x14ac:dyDescent="0.25">
      <c r="B222" s="1">
        <f t="shared" si="28"/>
        <v>1060</v>
      </c>
      <c r="D222" s="1">
        <f t="shared" si="29"/>
        <v>0.99268111444578544</v>
      </c>
      <c r="F222" s="1">
        <f t="shared" si="35"/>
        <v>-0.13145350418967991</v>
      </c>
      <c r="I222" s="1">
        <f t="shared" si="20"/>
        <v>1.1474794280185352</v>
      </c>
      <c r="L222" s="1">
        <f t="shared" si="36"/>
        <v>8.7531734973095769</v>
      </c>
      <c r="N222" s="1">
        <f t="shared" si="22"/>
        <v>3.4015391869585196E-35</v>
      </c>
      <c r="P222" s="1">
        <f t="shared" si="23"/>
        <v>2.1606505071431842E-141</v>
      </c>
      <c r="R222" s="1">
        <f t="shared" si="24"/>
        <v>3.0910384375295745E-37</v>
      </c>
      <c r="U222" s="1">
        <f t="shared" si="37"/>
        <v>1.0406112877297279E+98</v>
      </c>
      <c r="Y222" s="1">
        <f t="shared" si="26"/>
        <v>0</v>
      </c>
      <c r="AB222" s="1">
        <f t="shared" si="27"/>
        <v>0</v>
      </c>
      <c r="AF222" s="1">
        <f t="shared" si="30"/>
        <v>0.56954057870452601</v>
      </c>
      <c r="AH222" s="1">
        <f t="shared" si="31"/>
        <v>56.954057870452601</v>
      </c>
      <c r="AJ222" s="1">
        <f t="shared" si="32"/>
        <v>170.35112025060596</v>
      </c>
      <c r="AL222" s="1">
        <f t="shared" si="33"/>
        <v>170.35112025060596</v>
      </c>
      <c r="AN222" s="1">
        <f t="shared" si="34"/>
        <v>0.17035112025060598</v>
      </c>
    </row>
    <row r="223" spans="2:40" x14ac:dyDescent="0.25">
      <c r="B223" s="1">
        <f t="shared" si="28"/>
        <v>1070</v>
      </c>
      <c r="D223" s="1">
        <f t="shared" si="29"/>
        <v>0.9926123240281699</v>
      </c>
      <c r="F223" s="1">
        <f t="shared" si="35"/>
        <v>-0.13207211233207794</v>
      </c>
      <c r="I223" s="1">
        <f t="shared" si="20"/>
        <v>1.1481654384213051</v>
      </c>
      <c r="L223" s="1">
        <f t="shared" si="36"/>
        <v>8.7109404823991774</v>
      </c>
      <c r="N223" s="1">
        <f t="shared" si="22"/>
        <v>7.1460898135614207E-35</v>
      </c>
      <c r="P223" s="1">
        <f t="shared" si="23"/>
        <v>4.1502694102260276E-140</v>
      </c>
      <c r="R223" s="1">
        <f t="shared" si="24"/>
        <v>6.4920085301723755E-37</v>
      </c>
      <c r="U223" s="1">
        <f t="shared" si="37"/>
        <v>1.0406112877297279E+98</v>
      </c>
      <c r="Y223" s="1">
        <f t="shared" si="26"/>
        <v>0</v>
      </c>
      <c r="AB223" s="1">
        <f t="shared" si="27"/>
        <v>0</v>
      </c>
      <c r="AF223" s="1">
        <f t="shared" si="30"/>
        <v>0.56984158210009717</v>
      </c>
      <c r="AH223" s="1">
        <f t="shared" si="31"/>
        <v>56.984158210009717</v>
      </c>
      <c r="AJ223" s="1">
        <f t="shared" si="32"/>
        <v>170.44115117649963</v>
      </c>
      <c r="AL223" s="1">
        <f t="shared" si="33"/>
        <v>170.44115117649963</v>
      </c>
      <c r="AN223" s="1">
        <f t="shared" si="34"/>
        <v>0.17044115117649963</v>
      </c>
    </row>
    <row r="224" spans="2:40" x14ac:dyDescent="0.25">
      <c r="B224" s="1">
        <f t="shared" si="28"/>
        <v>1080</v>
      </c>
      <c r="D224" s="1">
        <f t="shared" si="29"/>
        <v>0.99254353837756504</v>
      </c>
      <c r="F224" s="1">
        <f t="shared" si="35"/>
        <v>-0.13268783647330987</v>
      </c>
      <c r="I224" s="1">
        <f t="shared" si="20"/>
        <v>1.1488481392853704</v>
      </c>
      <c r="L224" s="1">
        <f t="shared" si="36"/>
        <v>8.6692896756119957</v>
      </c>
      <c r="N224" s="1">
        <f t="shared" si="22"/>
        <v>1.4808441305696456E-34</v>
      </c>
      <c r="P224" s="1">
        <f t="shared" si="23"/>
        <v>7.5477325069098034E-139</v>
      </c>
      <c r="R224" s="1">
        <f t="shared" si="24"/>
        <v>1.3449361607799975E-36</v>
      </c>
      <c r="U224" s="1">
        <f t="shared" si="37"/>
        <v>1.0406112877297279E+98</v>
      </c>
      <c r="Y224" s="1">
        <f t="shared" si="26"/>
        <v>0</v>
      </c>
      <c r="AB224" s="1">
        <f t="shared" si="27"/>
        <v>0</v>
      </c>
      <c r="AF224" s="1">
        <f t="shared" si="30"/>
        <v>0.57014089861239159</v>
      </c>
      <c r="AH224" s="1">
        <f t="shared" si="31"/>
        <v>57.014089861239157</v>
      </c>
      <c r="AJ224" s="1">
        <f t="shared" si="32"/>
        <v>170.53067755106426</v>
      </c>
      <c r="AL224" s="1">
        <f t="shared" si="33"/>
        <v>170.53067755106426</v>
      </c>
      <c r="AN224" s="1">
        <f t="shared" si="34"/>
        <v>0.17053067755106427</v>
      </c>
    </row>
    <row r="225" spans="2:40" x14ac:dyDescent="0.25">
      <c r="B225" s="1">
        <f t="shared" si="28"/>
        <v>1090</v>
      </c>
      <c r="D225" s="1">
        <f t="shared" si="29"/>
        <v>0.99247475749364067</v>
      </c>
      <c r="F225" s="1">
        <f t="shared" si="35"/>
        <v>-0.13330071657751372</v>
      </c>
      <c r="I225" s="1">
        <f t="shared" si="20"/>
        <v>1.1495275759755628</v>
      </c>
      <c r="L225" s="1">
        <f t="shared" si="36"/>
        <v>8.628207719021848</v>
      </c>
      <c r="N225" s="1">
        <f t="shared" si="22"/>
        <v>3.0280410623636137E-34</v>
      </c>
      <c r="P225" s="1">
        <f t="shared" si="23"/>
        <v>1.3015435276352514E-137</v>
      </c>
      <c r="R225" s="1">
        <f t="shared" si="24"/>
        <v>2.7493866453956305E-36</v>
      </c>
      <c r="U225" s="1">
        <f t="shared" si="37"/>
        <v>1.0406112877297279E+98</v>
      </c>
      <c r="Y225" s="1">
        <f t="shared" si="26"/>
        <v>0</v>
      </c>
      <c r="AB225" s="1">
        <f t="shared" si="27"/>
        <v>0</v>
      </c>
      <c r="AF225" s="1">
        <f t="shared" si="30"/>
        <v>0.57043855109929964</v>
      </c>
      <c r="AH225" s="1">
        <f t="shared" si="31"/>
        <v>57.043855109929964</v>
      </c>
      <c r="AJ225" s="1">
        <f t="shared" si="32"/>
        <v>170.6197062111564</v>
      </c>
      <c r="AL225" s="1">
        <f t="shared" si="33"/>
        <v>170.6197062111564</v>
      </c>
      <c r="AN225" s="1">
        <f t="shared" si="34"/>
        <v>0.17061970621115641</v>
      </c>
    </row>
    <row r="226" spans="2:40" x14ac:dyDescent="0.25">
      <c r="B226" s="1">
        <f t="shared" si="28"/>
        <v>1100</v>
      </c>
      <c r="D226" s="1">
        <f t="shared" si="29"/>
        <v>0.99240598137606628</v>
      </c>
      <c r="F226" s="1">
        <f t="shared" si="35"/>
        <v>-0.13391079169428224</v>
      </c>
      <c r="I226" s="1">
        <f t="shared" si="20"/>
        <v>1.150203792821094</v>
      </c>
      <c r="L226" s="1">
        <f t="shared" si="36"/>
        <v>8.5876816803424134</v>
      </c>
      <c r="N226" s="1">
        <f t="shared" si="22"/>
        <v>6.1120008427035753E-34</v>
      </c>
      <c r="P226" s="1">
        <f t="shared" si="23"/>
        <v>2.131241465880724E-136</v>
      </c>
      <c r="R226" s="1">
        <f t="shared" si="24"/>
        <v>5.5480354389908018E-36</v>
      </c>
      <c r="U226" s="1">
        <f t="shared" si="37"/>
        <v>1.0406112877297279E+98</v>
      </c>
      <c r="Y226" s="1">
        <f t="shared" si="26"/>
        <v>0</v>
      </c>
      <c r="AB226" s="1">
        <f t="shared" si="27"/>
        <v>0</v>
      </c>
      <c r="AF226" s="1">
        <f t="shared" si="30"/>
        <v>0.57073456189854566</v>
      </c>
      <c r="AH226" s="1">
        <f t="shared" si="31"/>
        <v>57.073456189854568</v>
      </c>
      <c r="AJ226" s="1">
        <f t="shared" si="32"/>
        <v>170.70824383804953</v>
      </c>
      <c r="AL226" s="1">
        <f t="shared" si="33"/>
        <v>170.70824383804953</v>
      </c>
      <c r="AN226" s="1">
        <f t="shared" si="34"/>
        <v>0.17070824383804953</v>
      </c>
    </row>
    <row r="227" spans="2:40" x14ac:dyDescent="0.25">
      <c r="B227" s="1">
        <f t="shared" si="28"/>
        <v>1110</v>
      </c>
      <c r="D227" s="1">
        <f t="shared" si="29"/>
        <v>0.99233721002451181</v>
      </c>
      <c r="F227" s="1">
        <f t="shared" si="35"/>
        <v>-0.13451809998769781</v>
      </c>
      <c r="I227" s="1">
        <f t="shared" si="20"/>
        <v>1.1508768331484009</v>
      </c>
      <c r="L227" s="1">
        <f t="shared" si="36"/>
        <v>8.5476990356404183</v>
      </c>
      <c r="N227" s="1">
        <f t="shared" si="22"/>
        <v>1.2182216230116567E-33</v>
      </c>
      <c r="P227" s="1">
        <f t="shared" si="23"/>
        <v>3.3185278616560557E-135</v>
      </c>
      <c r="R227" s="1">
        <f t="shared" si="24"/>
        <v>1.1055131511193905E-35</v>
      </c>
      <c r="U227" s="1">
        <f t="shared" si="37"/>
        <v>1.0406112877297279E+98</v>
      </c>
      <c r="Y227" s="1">
        <f t="shared" si="26"/>
        <v>0</v>
      </c>
      <c r="AB227" s="1">
        <f t="shared" si="27"/>
        <v>0</v>
      </c>
      <c r="AF227" s="1">
        <f t="shared" si="30"/>
        <v>0.57102895284416488</v>
      </c>
      <c r="AH227" s="1">
        <f t="shared" si="31"/>
        <v>57.102895284416491</v>
      </c>
      <c r="AJ227" s="1">
        <f t="shared" si="32"/>
        <v>170.79629696236233</v>
      </c>
      <c r="AL227" s="1">
        <f t="shared" si="33"/>
        <v>170.79629696236233</v>
      </c>
      <c r="AN227" s="1">
        <f t="shared" si="34"/>
        <v>0.17079629696236237</v>
      </c>
    </row>
    <row r="228" spans="2:40" x14ac:dyDescent="0.25">
      <c r="B228" s="1">
        <f t="shared" si="28"/>
        <v>1120</v>
      </c>
      <c r="D228" s="1">
        <f t="shared" si="29"/>
        <v>0.99226844343864684</v>
      </c>
      <c r="F228" s="1">
        <f t="shared" si="35"/>
        <v>-0.13512267876419221</v>
      </c>
      <c r="I228" s="1">
        <f t="shared" si="20"/>
        <v>1.1515467393126635</v>
      </c>
      <c r="L228" s="1">
        <f t="shared" si="36"/>
        <v>8.5082476528993798</v>
      </c>
      <c r="N228" s="1">
        <f t="shared" si="22"/>
        <v>2.3984852316144298E-33</v>
      </c>
      <c r="P228" s="1">
        <f t="shared" si="23"/>
        <v>4.9201975169382406E-134</v>
      </c>
      <c r="R228" s="1">
        <f t="shared" si="24"/>
        <v>2.1759878819758024E-35</v>
      </c>
      <c r="U228" s="1">
        <f t="shared" si="37"/>
        <v>1.0406112877297279E+98</v>
      </c>
      <c r="Y228" s="1">
        <f t="shared" si="26"/>
        <v>0</v>
      </c>
      <c r="AB228" s="1">
        <f t="shared" si="27"/>
        <v>0</v>
      </c>
      <c r="AF228" s="1">
        <f t="shared" si="30"/>
        <v>0.57132174528231294</v>
      </c>
      <c r="AH228" s="1">
        <f t="shared" si="31"/>
        <v>57.132174528231296</v>
      </c>
      <c r="AJ228" s="1">
        <f t="shared" si="32"/>
        <v>170.88387196878747</v>
      </c>
      <c r="AL228" s="1">
        <f t="shared" si="33"/>
        <v>170.88387196878747</v>
      </c>
      <c r="AN228" s="1">
        <f t="shared" si="34"/>
        <v>0.17088387196878749</v>
      </c>
    </row>
    <row r="229" spans="2:40" x14ac:dyDescent="0.25">
      <c r="B229" s="1">
        <f t="shared" si="28"/>
        <v>1130</v>
      </c>
      <c r="D229" s="1">
        <f t="shared" si="29"/>
        <v>0.99219968161814109</v>
      </c>
      <c r="F229" s="1">
        <f t="shared" si="35"/>
        <v>-0.13572456449928985</v>
      </c>
      <c r="I229" s="1">
        <f t="shared" si="20"/>
        <v>1.1522135527280584</v>
      </c>
      <c r="L229" s="1">
        <f t="shared" si="36"/>
        <v>8.4693157763848905</v>
      </c>
      <c r="N229" s="1">
        <f t="shared" si="22"/>
        <v>4.6661322878303018E-33</v>
      </c>
      <c r="P229" s="1">
        <f t="shared" si="23"/>
        <v>6.9551828706683743E-133</v>
      </c>
      <c r="R229" s="1">
        <f t="shared" si="24"/>
        <v>4.2321232902749537E-35</v>
      </c>
      <c r="U229" s="1">
        <f t="shared" si="37"/>
        <v>1.0406112877297279E+98</v>
      </c>
      <c r="Y229" s="1">
        <f t="shared" si="26"/>
        <v>0</v>
      </c>
      <c r="AB229" s="1">
        <f t="shared" si="27"/>
        <v>0</v>
      </c>
      <c r="AF229" s="1">
        <f t="shared" si="30"/>
        <v>0.57161296008644336</v>
      </c>
      <c r="AH229" s="1">
        <f t="shared" si="31"/>
        <v>57.161296008644335</v>
      </c>
      <c r="AJ229" s="1">
        <f t="shared" si="32"/>
        <v>170.97097510063108</v>
      </c>
      <c r="AL229" s="1">
        <f t="shared" si="33"/>
        <v>170.97097510063108</v>
      </c>
      <c r="AN229" s="1">
        <f t="shared" si="34"/>
        <v>0.17097097510063108</v>
      </c>
    </row>
    <row r="230" spans="2:40" x14ac:dyDescent="0.25">
      <c r="B230" s="1">
        <f t="shared" si="28"/>
        <v>1140</v>
      </c>
      <c r="D230" s="1">
        <f t="shared" si="29"/>
        <v>0.9921309245626645</v>
      </c>
      <c r="F230" s="1">
        <f t="shared" si="35"/>
        <v>-0.13632379286328819</v>
      </c>
      <c r="I230" s="1">
        <f t="shared" si="20"/>
        <v>1.1528773138968123</v>
      </c>
      <c r="L230" s="1">
        <f t="shared" si="36"/>
        <v>8.4308920117656641</v>
      </c>
      <c r="N230" s="1">
        <f t="shared" si="22"/>
        <v>8.9726917329382233E-33</v>
      </c>
      <c r="P230" s="1">
        <f t="shared" si="23"/>
        <v>9.3857372662716241E-132</v>
      </c>
      <c r="R230" s="1">
        <f t="shared" si="24"/>
        <v>8.1359051577160342E-35</v>
      </c>
      <c r="U230" s="1">
        <f t="shared" si="37"/>
        <v>1.0406112877297279E+98</v>
      </c>
      <c r="Y230" s="1">
        <f t="shared" si="26"/>
        <v>0</v>
      </c>
      <c r="AB230" s="1">
        <f t="shared" si="27"/>
        <v>0</v>
      </c>
      <c r="AF230" s="1">
        <f t="shared" si="30"/>
        <v>0.57190261767188277</v>
      </c>
      <c r="AH230" s="1">
        <f t="shared" si="31"/>
        <v>57.190261767188275</v>
      </c>
      <c r="AJ230" s="1">
        <f t="shared" si="32"/>
        <v>171.05761246417228</v>
      </c>
      <c r="AL230" s="1">
        <f t="shared" si="33"/>
        <v>171.05761246417228</v>
      </c>
      <c r="AN230" s="1">
        <f t="shared" si="34"/>
        <v>0.17105761246417228</v>
      </c>
    </row>
    <row r="231" spans="2:40" x14ac:dyDescent="0.25">
      <c r="B231" s="1">
        <f t="shared" si="28"/>
        <v>1150</v>
      </c>
      <c r="D231" s="1">
        <f t="shared" si="29"/>
        <v>0.99206217227188664</v>
      </c>
      <c r="F231" s="1">
        <f t="shared" si="35"/>
        <v>-0.13692039874592651</v>
      </c>
      <c r="I231" s="1">
        <f t="shared" si="20"/>
        <v>1.1535380624371105</v>
      </c>
      <c r="L231" s="1">
        <f t="shared" si="36"/>
        <v>8.3929653119475098</v>
      </c>
      <c r="N231" s="1">
        <f t="shared" si="22"/>
        <v>1.7059482547866587E-32</v>
      </c>
      <c r="P231" s="1">
        <f t="shared" si="23"/>
        <v>1.2105646395628356E-130</v>
      </c>
      <c r="R231" s="1">
        <f t="shared" si="24"/>
        <v>1.5464321702446995E-34</v>
      </c>
      <c r="U231" s="1">
        <f t="shared" si="37"/>
        <v>1.0406112877297279E+98</v>
      </c>
      <c r="Y231" s="1">
        <f t="shared" si="26"/>
        <v>0</v>
      </c>
      <c r="AB231" s="1">
        <f t="shared" si="27"/>
        <v>0</v>
      </c>
      <c r="AF231" s="1">
        <f t="shared" si="30"/>
        <v>0.57219073800983156</v>
      </c>
      <c r="AH231" s="1">
        <f t="shared" si="31"/>
        <v>57.219073800983153</v>
      </c>
      <c r="AJ231" s="1">
        <f t="shared" si="32"/>
        <v>171.14379003285089</v>
      </c>
      <c r="AL231" s="1">
        <f t="shared" si="33"/>
        <v>171.14379003285089</v>
      </c>
      <c r="AN231" s="1">
        <f t="shared" si="34"/>
        <v>0.17114379003285091</v>
      </c>
    </row>
    <row r="232" spans="2:40" x14ac:dyDescent="0.25">
      <c r="B232" s="1">
        <f t="shared" si="28"/>
        <v>1160</v>
      </c>
      <c r="D232" s="1">
        <f t="shared" si="29"/>
        <v>0.99199342474547758</v>
      </c>
      <c r="F232" s="1">
        <f t="shared" si="35"/>
        <v>-0.13751441628009164</v>
      </c>
      <c r="I232" s="1">
        <f t="shared" si="20"/>
        <v>1.1541958371099179</v>
      </c>
      <c r="L232" s="1">
        <f t="shared" si="36"/>
        <v>8.3555249635802493</v>
      </c>
      <c r="N232" s="1">
        <f t="shared" si="22"/>
        <v>3.2078461611022526E-32</v>
      </c>
      <c r="P232" s="1">
        <f t="shared" si="23"/>
        <v>1.4940843667827058E-129</v>
      </c>
      <c r="R232" s="1">
        <f t="shared" si="24"/>
        <v>2.9071033530650065E-34</v>
      </c>
      <c r="U232" s="1">
        <f t="shared" si="37"/>
        <v>1.0406112877297279E+98</v>
      </c>
      <c r="Y232" s="1">
        <f t="shared" si="26"/>
        <v>0</v>
      </c>
      <c r="AB232" s="1">
        <f t="shared" si="27"/>
        <v>0</v>
      </c>
      <c r="AF232" s="1">
        <f t="shared" si="30"/>
        <v>0.57247734064082045</v>
      </c>
      <c r="AH232" s="1">
        <f t="shared" si="31"/>
        <v>57.247734064082046</v>
      </c>
      <c r="AJ232" s="1">
        <f t="shared" si="32"/>
        <v>171.22951365129222</v>
      </c>
      <c r="AL232" s="1">
        <f t="shared" si="33"/>
        <v>171.22951365129222</v>
      </c>
      <c r="AN232" s="1">
        <f t="shared" si="34"/>
        <v>0.17122951365129224</v>
      </c>
    </row>
    <row r="233" spans="2:40" x14ac:dyDescent="0.25">
      <c r="B233" s="1">
        <f t="shared" si="28"/>
        <v>1170</v>
      </c>
      <c r="D233" s="1">
        <f t="shared" si="29"/>
        <v>0.9919246819831069</v>
      </c>
      <c r="F233" s="1">
        <f t="shared" si="35"/>
        <v>-0.13810587886460571</v>
      </c>
      <c r="I233" s="1">
        <f t="shared" si="20"/>
        <v>1.1548506758447608</v>
      </c>
      <c r="L233" s="1">
        <f t="shared" si="36"/>
        <v>8.3185605742000792</v>
      </c>
      <c r="N233" s="1">
        <f t="shared" si="22"/>
        <v>5.9674474610251712E-32</v>
      </c>
      <c r="P233" s="1">
        <f t="shared" si="23"/>
        <v>1.7665268471311546E-128</v>
      </c>
      <c r="R233" s="1">
        <f t="shared" si="24"/>
        <v>5.4065159292157617E-34</v>
      </c>
      <c r="U233" s="1">
        <f t="shared" si="37"/>
        <v>1.0406112877297279E+98</v>
      </c>
      <c r="Y233" s="1">
        <f t="shared" si="26"/>
        <v>0</v>
      </c>
      <c r="AB233" s="1">
        <f t="shared" si="27"/>
        <v>0</v>
      </c>
      <c r="AF233" s="1">
        <f t="shared" si="30"/>
        <v>0.57276244468764514</v>
      </c>
      <c r="AH233" s="1">
        <f t="shared" si="31"/>
        <v>57.276244468764517</v>
      </c>
      <c r="AJ233" s="1">
        <f t="shared" si="32"/>
        <v>171.31478903917599</v>
      </c>
      <c r="AL233" s="1">
        <f t="shared" si="33"/>
        <v>171.31478903917599</v>
      </c>
      <c r="AN233" s="1">
        <f t="shared" si="34"/>
        <v>0.17131478903917599</v>
      </c>
    </row>
    <row r="234" spans="2:40" x14ac:dyDescent="0.25">
      <c r="B234" s="1">
        <f t="shared" si="28"/>
        <v>1180</v>
      </c>
      <c r="D234" s="1">
        <f t="shared" si="29"/>
        <v>0.99185594398444465</v>
      </c>
      <c r="F234" s="1">
        <f t="shared" si="35"/>
        <v>-0.1386948191861396</v>
      </c>
      <c r="I234" s="1">
        <f t="shared" si="20"/>
        <v>1.1555026157645198</v>
      </c>
      <c r="L234" s="1">
        <f t="shared" si="36"/>
        <v>8.2820620599723362</v>
      </c>
      <c r="N234" s="1">
        <f t="shared" si="22"/>
        <v>1.0985244506092179E-31</v>
      </c>
      <c r="P234" s="1">
        <f t="shared" si="23"/>
        <v>2.0030747652457629E-127</v>
      </c>
      <c r="R234" s="1">
        <f t="shared" si="24"/>
        <v>9.949942700739226E-34</v>
      </c>
      <c r="U234" s="1">
        <f t="shared" si="37"/>
        <v>1.0406112877297279E+98</v>
      </c>
      <c r="Y234" s="1">
        <f t="shared" si="26"/>
        <v>0</v>
      </c>
      <c r="AB234" s="1">
        <f t="shared" si="27"/>
        <v>0</v>
      </c>
      <c r="AF234" s="1">
        <f t="shared" si="30"/>
        <v>0.5730460688678064</v>
      </c>
      <c r="AH234" s="1">
        <f t="shared" si="31"/>
        <v>57.30460688678064</v>
      </c>
      <c r="AJ234" s="1">
        <f t="shared" si="32"/>
        <v>171.39962179495703</v>
      </c>
      <c r="AL234" s="1">
        <f t="shared" si="33"/>
        <v>171.39962179495703</v>
      </c>
      <c r="AN234" s="1">
        <f t="shared" si="34"/>
        <v>0.17139962179495702</v>
      </c>
    </row>
    <row r="235" spans="2:40" x14ac:dyDescent="0.25">
      <c r="B235" s="1">
        <f t="shared" si="28"/>
        <v>1190</v>
      </c>
      <c r="D235" s="1">
        <f t="shared" si="29"/>
        <v>0.99178721074916065</v>
      </c>
      <c r="F235" s="1">
        <f t="shared" si="35"/>
        <v>-0.13928126924029222</v>
      </c>
      <c r="I235" s="1">
        <f t="shared" si="20"/>
        <v>1.1561516932092812</v>
      </c>
      <c r="L235" s="1">
        <f t="shared" si="36"/>
        <v>8.2460196340017919</v>
      </c>
      <c r="N235" s="1">
        <f t="shared" si="22"/>
        <v>2.0016658369170421E-31</v>
      </c>
      <c r="P235" s="1">
        <f t="shared" si="23"/>
        <v>2.1805385266101744E-126</v>
      </c>
      <c r="R235" s="1">
        <f t="shared" si="24"/>
        <v>1.8125267462782973E-33</v>
      </c>
      <c r="U235" s="1">
        <f t="shared" si="37"/>
        <v>1.0406112877297279E+98</v>
      </c>
      <c r="Y235" s="1">
        <f t="shared" si="26"/>
        <v>0</v>
      </c>
      <c r="AB235" s="1">
        <f t="shared" si="27"/>
        <v>0</v>
      </c>
      <c r="AF235" s="1">
        <f t="shared" si="30"/>
        <v>0.57332823150547618</v>
      </c>
      <c r="AH235" s="1">
        <f t="shared" si="31"/>
        <v>57.332823150547618</v>
      </c>
      <c r="AJ235" s="1">
        <f t="shared" si="32"/>
        <v>171.4840173994445</v>
      </c>
      <c r="AL235" s="1">
        <f t="shared" si="33"/>
        <v>171.4840173994445</v>
      </c>
      <c r="AN235" s="1">
        <f t="shared" si="34"/>
        <v>0.17148401739944449</v>
      </c>
    </row>
    <row r="236" spans="2:40" x14ac:dyDescent="0.25">
      <c r="B236" s="1">
        <f t="shared" si="28"/>
        <v>1200</v>
      </c>
      <c r="D236" s="1">
        <f t="shared" si="29"/>
        <v>0.99171848227692483</v>
      </c>
      <c r="F236" s="1">
        <f t="shared" si="35"/>
        <v>-0.13986526035187433</v>
      </c>
      <c r="I236" s="1">
        <f t="shared" si="20"/>
        <v>1.156797943759287</v>
      </c>
      <c r="L236" s="1">
        <f t="shared" si="36"/>
        <v>8.2104237951796701</v>
      </c>
      <c r="N236" s="1">
        <f t="shared" si="22"/>
        <v>3.6111456451671931E-31</v>
      </c>
      <c r="P236" s="1">
        <f t="shared" si="23"/>
        <v>2.2811964392401046E-125</v>
      </c>
      <c r="R236" s="1">
        <f t="shared" si="24"/>
        <v>3.269037272514119E-33</v>
      </c>
      <c r="U236" s="1">
        <f t="shared" si="37"/>
        <v>1.0406112877297279E+98</v>
      </c>
      <c r="Y236" s="1">
        <f t="shared" si="26"/>
        <v>0</v>
      </c>
      <c r="AB236" s="1">
        <f t="shared" si="27"/>
        <v>0</v>
      </c>
      <c r="AF236" s="1">
        <f t="shared" si="30"/>
        <v>0.57360895054301375</v>
      </c>
      <c r="AH236" s="1">
        <f t="shared" si="31"/>
        <v>57.360895054301373</v>
      </c>
      <c r="AJ236" s="1">
        <f t="shared" si="32"/>
        <v>171.56798121924635</v>
      </c>
      <c r="AL236" s="1">
        <f t="shared" si="33"/>
        <v>171.56798121924635</v>
      </c>
      <c r="AN236" s="1">
        <f t="shared" si="34"/>
        <v>0.17156798121924638</v>
      </c>
    </row>
    <row r="237" spans="2:40" x14ac:dyDescent="0.25">
      <c r="B237" s="1">
        <f t="shared" si="28"/>
        <v>1210</v>
      </c>
      <c r="D237" s="1">
        <f t="shared" si="29"/>
        <v>0.991649758567407</v>
      </c>
      <c r="F237" s="1">
        <f t="shared" si="35"/>
        <v>-0.14044682319443327</v>
      </c>
      <c r="I237" s="1">
        <f t="shared" si="20"/>
        <v>1.1574414022570276</v>
      </c>
      <c r="L237" s="1">
        <f t="shared" si="36"/>
        <v>8.1752653175385408</v>
      </c>
      <c r="N237" s="1">
        <f t="shared" si="22"/>
        <v>6.4517451166557583E-31</v>
      </c>
      <c r="P237" s="1">
        <f t="shared" si="23"/>
        <v>2.2957358729671853E-124</v>
      </c>
      <c r="R237" s="1">
        <f t="shared" si="24"/>
        <v>5.8389413848914589E-33</v>
      </c>
      <c r="U237" s="1">
        <f t="shared" si="37"/>
        <v>1.0406112877297279E+98</v>
      </c>
      <c r="Y237" s="1">
        <f t="shared" si="26"/>
        <v>0</v>
      </c>
      <c r="AB237" s="1">
        <f t="shared" si="27"/>
        <v>0</v>
      </c>
      <c r="AF237" s="1">
        <f t="shared" si="30"/>
        <v>0.57388824355205126</v>
      </c>
      <c r="AH237" s="1">
        <f t="shared" si="31"/>
        <v>57.388824355205124</v>
      </c>
      <c r="AJ237" s="1">
        <f t="shared" si="32"/>
        <v>171.65151851008508</v>
      </c>
      <c r="AL237" s="1">
        <f t="shared" si="33"/>
        <v>171.65151851008508</v>
      </c>
      <c r="AN237" s="1">
        <f t="shared" si="34"/>
        <v>0.17165151851008509</v>
      </c>
    </row>
    <row r="238" spans="2:40" x14ac:dyDescent="0.25">
      <c r="B238" s="1">
        <f t="shared" si="28"/>
        <v>1220</v>
      </c>
      <c r="D238" s="1">
        <f t="shared" si="29"/>
        <v>0.99158103962027733</v>
      </c>
      <c r="F238" s="1">
        <f t="shared" si="35"/>
        <v>-0.14102598780905318</v>
      </c>
      <c r="I238" s="1">
        <f t="shared" si="20"/>
        <v>1.1580821028285153</v>
      </c>
      <c r="L238" s="1">
        <f t="shared" si="36"/>
        <v>8.140535240087921</v>
      </c>
      <c r="N238" s="1">
        <f t="shared" si="22"/>
        <v>1.1418047519633093E-30</v>
      </c>
      <c r="P238" s="1">
        <f t="shared" si="23"/>
        <v>2.2246179596680898E-123</v>
      </c>
      <c r="R238" s="1">
        <f t="shared" si="24"/>
        <v>1.0330725734424291E-32</v>
      </c>
      <c r="U238" s="1">
        <f t="shared" si="37"/>
        <v>1.0406112877297279E+98</v>
      </c>
      <c r="Y238" s="1">
        <f t="shared" si="26"/>
        <v>0</v>
      </c>
      <c r="AB238" s="1">
        <f t="shared" si="27"/>
        <v>0</v>
      </c>
      <c r="AF238" s="1">
        <f t="shared" si="30"/>
        <v>0.57416612774416809</v>
      </c>
      <c r="AH238" s="1">
        <f t="shared" si="31"/>
        <v>57.416612774416805</v>
      </c>
      <c r="AJ238" s="1">
        <f t="shared" si="32"/>
        <v>171.73463441999041</v>
      </c>
      <c r="AL238" s="1">
        <f t="shared" si="33"/>
        <v>171.73463441999041</v>
      </c>
      <c r="AN238" s="1">
        <f t="shared" si="34"/>
        <v>0.17173463441999043</v>
      </c>
    </row>
    <row r="239" spans="2:40" x14ac:dyDescent="0.25">
      <c r="B239" s="1">
        <f t="shared" si="28"/>
        <v>1230</v>
      </c>
      <c r="D239" s="1">
        <f t="shared" si="29"/>
        <v>0.99151232543520562</v>
      </c>
      <c r="F239" s="1">
        <f t="shared" si="35"/>
        <v>-0.14160278362246281</v>
      </c>
      <c r="I239" s="1">
        <f t="shared" si="20"/>
        <v>1.1587200789037742</v>
      </c>
      <c r="L239" s="1">
        <f t="shared" si="36"/>
        <v>8.1062248571051914</v>
      </c>
      <c r="N239" s="1">
        <f t="shared" si="22"/>
        <v>2.0021160464485122E-30</v>
      </c>
      <c r="P239" s="1">
        <f t="shared" si="23"/>
        <v>2.0776086666379603E-122</v>
      </c>
      <c r="R239" s="1">
        <f t="shared" si="24"/>
        <v>1.8109661373259022E-32</v>
      </c>
      <c r="U239" s="1">
        <f t="shared" si="37"/>
        <v>1.0406112877297279E+98</v>
      </c>
      <c r="Y239" s="1">
        <f t="shared" si="26"/>
        <v>0</v>
      </c>
      <c r="AB239" s="1">
        <f t="shared" si="27"/>
        <v>0</v>
      </c>
      <c r="AF239" s="1">
        <f t="shared" si="30"/>
        <v>0.57444261998117307</v>
      </c>
      <c r="AH239" s="1">
        <f t="shared" si="31"/>
        <v>57.444261998117305</v>
      </c>
      <c r="AJ239" s="1">
        <f t="shared" si="32"/>
        <v>171.81733399237476</v>
      </c>
      <c r="AL239" s="1">
        <f t="shared" si="33"/>
        <v>171.81733399237476</v>
      </c>
      <c r="AN239" s="1">
        <f t="shared" si="34"/>
        <v>0.17181733399237478</v>
      </c>
    </row>
    <row r="240" spans="2:40" x14ac:dyDescent="0.25">
      <c r="B240" s="1">
        <f t="shared" si="28"/>
        <v>1240</v>
      </c>
      <c r="D240" s="1">
        <f t="shared" si="29"/>
        <v>0.99144361601186204</v>
      </c>
      <c r="F240" s="1">
        <f t="shared" si="35"/>
        <v>-0.14217723946448263</v>
      </c>
      <c r="I240" s="1">
        <f t="shared" si="20"/>
        <v>1.1593553632365825</v>
      </c>
      <c r="L240" s="1">
        <f t="shared" si="36"/>
        <v>8.072325708857873</v>
      </c>
      <c r="N240" s="1">
        <f t="shared" si="22"/>
        <v>3.4790965189977644E-30</v>
      </c>
      <c r="P240" s="1">
        <f t="shared" si="23"/>
        <v>1.8716922337015943E-121</v>
      </c>
      <c r="R240" s="1">
        <f t="shared" si="24"/>
        <v>3.1460794341370265E-32</v>
      </c>
      <c r="U240" s="1">
        <f t="shared" si="37"/>
        <v>1.0406112877297279E+98</v>
      </c>
      <c r="Y240" s="1">
        <f t="shared" si="26"/>
        <v>0</v>
      </c>
      <c r="AB240" s="1">
        <f t="shared" si="27"/>
        <v>0</v>
      </c>
      <c r="AF240" s="1">
        <f t="shared" si="30"/>
        <v>0.57471773678501159</v>
      </c>
      <c r="AH240" s="1">
        <f t="shared" si="31"/>
        <v>57.471773678501158</v>
      </c>
      <c r="AJ240" s="1">
        <f t="shared" si="32"/>
        <v>171.89962216899644</v>
      </c>
      <c r="AL240" s="1">
        <f t="shared" si="33"/>
        <v>171.89962216899644</v>
      </c>
      <c r="AN240" s="1">
        <f t="shared" si="34"/>
        <v>0.17189962216899646</v>
      </c>
    </row>
    <row r="241" spans="2:40" x14ac:dyDescent="0.25">
      <c r="B241" s="1">
        <f t="shared" si="28"/>
        <v>1250</v>
      </c>
      <c r="D241" s="1">
        <f t="shared" si="29"/>
        <v>0.9913749113499164</v>
      </c>
      <c r="F241" s="1">
        <f t="shared" si="35"/>
        <v>-0.14274938358483952</v>
      </c>
      <c r="I241" s="1">
        <f t="shared" si="20"/>
        <v>1.1599879879235016</v>
      </c>
      <c r="L241" s="1">
        <f t="shared" si="36"/>
        <v>8.0388295727348211</v>
      </c>
      <c r="N241" s="1">
        <f t="shared" si="22"/>
        <v>5.9926306217632883E-30</v>
      </c>
      <c r="P241" s="1">
        <f t="shared" si="23"/>
        <v>1.6279561332104523E-120</v>
      </c>
      <c r="R241" s="1">
        <f t="shared" si="24"/>
        <v>5.4175492025166532E-32</v>
      </c>
      <c r="U241" s="1">
        <f t="shared" si="37"/>
        <v>1.0406112877297279E+98</v>
      </c>
      <c r="Y241" s="1">
        <f t="shared" si="26"/>
        <v>0</v>
      </c>
      <c r="AB241" s="1">
        <f t="shared" si="27"/>
        <v>0</v>
      </c>
      <c r="AF241" s="1">
        <f t="shared" si="30"/>
        <v>0.57499149434731467</v>
      </c>
      <c r="AH241" s="1">
        <f t="shared" si="31"/>
        <v>57.499149434731464</v>
      </c>
      <c r="AJ241" s="1">
        <f t="shared" si="32"/>
        <v>171.98150379281591</v>
      </c>
      <c r="AL241" s="1">
        <f t="shared" si="33"/>
        <v>171.98150379281591</v>
      </c>
      <c r="AN241" s="1">
        <f t="shared" si="34"/>
        <v>0.17198150379281593</v>
      </c>
    </row>
    <row r="242" spans="2:40" x14ac:dyDescent="0.25">
      <c r="B242" s="1">
        <f t="shared" si="28"/>
        <v>1260</v>
      </c>
      <c r="D242" s="1">
        <f t="shared" si="29"/>
        <v>0.99130621144903897</v>
      </c>
      <c r="F242" s="1">
        <f t="shared" si="35"/>
        <v>-0.1433192436693777</v>
      </c>
      <c r="I242" s="1">
        <f t="shared" si="20"/>
        <v>1.16061798442222</v>
      </c>
      <c r="L242" s="1">
        <f t="shared" si="36"/>
        <v>8.0057284547651939</v>
      </c>
      <c r="N242" s="1">
        <f t="shared" si="22"/>
        <v>1.0233715296065036E-29</v>
      </c>
      <c r="P242" s="1">
        <f t="shared" si="23"/>
        <v>1.3682070003823313E-119</v>
      </c>
      <c r="R242" s="1">
        <f t="shared" si="24"/>
        <v>9.249129497860182E-32</v>
      </c>
      <c r="U242" s="1">
        <f t="shared" si="37"/>
        <v>1.0406112877297279E+98</v>
      </c>
      <c r="Y242" s="1">
        <f t="shared" si="26"/>
        <v>0</v>
      </c>
      <c r="AB242" s="1">
        <f t="shared" si="27"/>
        <v>0</v>
      </c>
      <c r="AF242" s="1">
        <f t="shared" si="30"/>
        <v>0.57526390853860532</v>
      </c>
      <c r="AH242" s="1">
        <f t="shared" si="31"/>
        <v>57.526390853860534</v>
      </c>
      <c r="AJ242" s="1">
        <f t="shared" si="32"/>
        <v>172.06298361074931</v>
      </c>
      <c r="AL242" s="1">
        <f t="shared" si="33"/>
        <v>172.06298361074931</v>
      </c>
      <c r="AN242" s="1">
        <f t="shared" si="34"/>
        <v>0.17206298361074931</v>
      </c>
    </row>
    <row r="243" spans="2:40" x14ac:dyDescent="0.25">
      <c r="B243" s="1">
        <f t="shared" si="28"/>
        <v>1270</v>
      </c>
      <c r="D243" s="1">
        <f t="shared" si="29"/>
        <v>0.99123751630889967</v>
      </c>
      <c r="F243" s="1">
        <f t="shared" si="35"/>
        <v>-0.1438868468556917</v>
      </c>
      <c r="I243" s="1">
        <f t="shared" si="20"/>
        <v>1.1612453835692458</v>
      </c>
      <c r="L243" s="1">
        <f t="shared" si="36"/>
        <v>7.9730145815053195</v>
      </c>
      <c r="N243" s="1">
        <f t="shared" si="22"/>
        <v>1.7330139819735839E-29</v>
      </c>
      <c r="P243" s="1">
        <f t="shared" si="23"/>
        <v>1.1120225855152614E-118</v>
      </c>
      <c r="R243" s="1">
        <f t="shared" si="24"/>
        <v>1.5658559102765833E-31</v>
      </c>
      <c r="U243" s="1">
        <f t="shared" si="37"/>
        <v>1.0406112877297279E+98</v>
      </c>
      <c r="Y243" s="1">
        <f t="shared" si="26"/>
        <v>0</v>
      </c>
      <c r="AB243" s="1">
        <f t="shared" si="27"/>
        <v>0</v>
      </c>
      <c r="AF243" s="1">
        <f t="shared" si="30"/>
        <v>0.57553499491717741</v>
      </c>
      <c r="AH243" s="1">
        <f t="shared" si="31"/>
        <v>57.553499491717744</v>
      </c>
      <c r="AJ243" s="1">
        <f t="shared" si="32"/>
        <v>172.14406627632422</v>
      </c>
      <c r="AL243" s="1">
        <f t="shared" si="33"/>
        <v>172.14406627632422</v>
      </c>
      <c r="AN243" s="1">
        <f t="shared" si="34"/>
        <v>0.17214406627632423</v>
      </c>
    </row>
    <row r="244" spans="2:40" x14ac:dyDescent="0.25">
      <c r="B244" s="1">
        <f t="shared" si="28"/>
        <v>1280</v>
      </c>
      <c r="D244" s="1">
        <f t="shared" si="29"/>
        <v>0.99116882592916855</v>
      </c>
      <c r="F244" s="1">
        <f t="shared" si="35"/>
        <v>-0.14445221974820632</v>
      </c>
      <c r="I244" s="1">
        <f t="shared" si="20"/>
        <v>1.1618702155969709</v>
      </c>
      <c r="L244" s="1">
        <f t="shared" si="36"/>
        <v>7.940680392274726</v>
      </c>
      <c r="N244" s="1">
        <f t="shared" si="22"/>
        <v>2.9107780391679895E-29</v>
      </c>
      <c r="P244" s="1">
        <f t="shared" si="23"/>
        <v>8.7471977417451469E-118</v>
      </c>
      <c r="R244" s="1">
        <f t="shared" si="24"/>
        <v>2.6293054658590413E-31</v>
      </c>
      <c r="U244" s="1">
        <f t="shared" si="37"/>
        <v>1.0406112877297279E+98</v>
      </c>
      <c r="Y244" s="1">
        <f t="shared" si="26"/>
        <v>0</v>
      </c>
      <c r="AB244" s="1">
        <f t="shared" si="27"/>
        <v>0</v>
      </c>
      <c r="AF244" s="1">
        <f t="shared" si="30"/>
        <v>0.57580476873765984</v>
      </c>
      <c r="AH244" s="1">
        <f t="shared" si="31"/>
        <v>57.580476873765981</v>
      </c>
      <c r="AJ244" s="1">
        <f t="shared" si="32"/>
        <v>172.2247563522412</v>
      </c>
      <c r="AL244" s="1">
        <f t="shared" si="33"/>
        <v>172.2247563522412</v>
      </c>
      <c r="AN244" s="1">
        <f t="shared" si="34"/>
        <v>0.17222475635224122</v>
      </c>
    </row>
    <row r="245" spans="2:40" x14ac:dyDescent="0.25">
      <c r="B245" s="1">
        <f t="shared" si="28"/>
        <v>1290</v>
      </c>
      <c r="D245" s="1">
        <f t="shared" si="29"/>
        <v>0.99110014030951588</v>
      </c>
      <c r="F245" s="1">
        <f t="shared" ref="F245:F308" si="38">($M$18-$M$14-($I$36*B245))/POWER(4*$S$36*B245,0.5)</f>
        <v>-0.14501538843272774</v>
      </c>
      <c r="I245" s="1">
        <f t="shared" ref="I245:I308" si="39">IF(F245&gt;0,ERFC(IF(F245&lt;27,F245,27)),1+ERF(IF(-F245&lt;27,-F245,27)))</f>
        <v>1.1624925101501407</v>
      </c>
      <c r="L245" s="1">
        <f t="shared" ref="L245:L308" si="40">($M$18-(B245*$I$36))/POWER(4*$S$36*B245,0.5)</f>
        <v>7.9087185317237472</v>
      </c>
      <c r="N245" s="1">
        <f t="shared" ref="N245:N308" si="41">IF(L245&gt;0,ERFC(IF(L245&lt;27,L245,27)),1+ERF(IF(-L245&lt;27,-L245,27)))</f>
        <v>4.8499484975469784E-29</v>
      </c>
      <c r="P245" s="1">
        <f t="shared" ref="P245:P308" si="42">IF(($M$18+$M$14+$I$36*B245)/POWER(4*$S$36*B245,0.5)&gt;27,ERFC(27),ERFC(($M$18+$M$14+$I$36*B245)/POWER(4*$S$36*B245,0.5)))</f>
        <v>6.6642011450905885E-117</v>
      </c>
      <c r="R245" s="1">
        <f t="shared" ref="R245:R308" si="43">IF(($M$18+$I$36*B245)/(POWER(4*$S$36*B245,0.5))&gt;27,ERFC(27),ERFC(($M$18+$I$36*B245)/(POWER(4*$S$36*B245,0.5))))</f>
        <v>4.3797702791333234E-31</v>
      </c>
      <c r="U245" s="1">
        <f t="shared" ref="U245:U308" si="44">(2+$I$36/$C$42)*EXP(IF(($C$42*($C$42+$I$36)*B245+($C$42+$I$36)*$M$18)/$S$36&gt;225,225,($C$42*($C$42+$I$36)*B245+($C$42+$I$36)*$M$18)/$S$36))</f>
        <v>1.0406112877297279E+98</v>
      </c>
      <c r="Y245" s="1">
        <f t="shared" ref="Y245:Y308" si="45">IF(($M$18+((2*$C$42+$I$36)*B245))/POWER(4*$S$36*B245,0.5)&gt;27,ERFC(27),ERFC(($M$18+((2*$C$42+$I$36)*B245))/POWER(4*$S$36*B245,0.5)))</f>
        <v>0</v>
      </c>
      <c r="AB245" s="1">
        <f t="shared" ref="AB245:AB308" si="46">IF(($M$18+$M$14+((2*$C$42+$I$36)*B245))/POWER(4*$S$36*B245,0.5)&gt;27,ERFC(27),ERFC(($M$18+$M$14+((2*$C$42+$I$36)*B245))/POWER(4*$S$36*B245,0.5)))</f>
        <v>0</v>
      </c>
      <c r="AF245" s="1">
        <f t="shared" si="30"/>
        <v>0.5760732449592828</v>
      </c>
      <c r="AH245" s="1">
        <f t="shared" si="31"/>
        <v>57.607324495928282</v>
      </c>
      <c r="AJ245" s="1">
        <f t="shared" si="32"/>
        <v>172.30505831284626</v>
      </c>
      <c r="AL245" s="1">
        <f t="shared" si="33"/>
        <v>172.30505831284626</v>
      </c>
      <c r="AN245" s="1">
        <f t="shared" si="34"/>
        <v>0.17230505831284629</v>
      </c>
    </row>
    <row r="246" spans="2:40" x14ac:dyDescent="0.25">
      <c r="B246" s="1">
        <f t="shared" ref="B246:B309" si="47">B245+$M$20</f>
        <v>1300</v>
      </c>
      <c r="D246" s="1">
        <f t="shared" ref="D246:D309" si="48">EXP(-0.693/$M$6*B246)</f>
        <v>0.99103145944961168</v>
      </c>
      <c r="F246" s="1">
        <f t="shared" si="38"/>
        <v>-0.14557637849048766</v>
      </c>
      <c r="I246" s="1">
        <f t="shared" si="39"/>
        <v>1.1631122963017473</v>
      </c>
      <c r="L246" s="1">
        <f t="shared" si="40"/>
        <v>7.8771218427160585</v>
      </c>
      <c r="N246" s="1">
        <f t="shared" si="41"/>
        <v>8.0180057090577615E-29</v>
      </c>
      <c r="P246" s="1">
        <f t="shared" si="42"/>
        <v>4.9212019100618855E-116</v>
      </c>
      <c r="R246" s="1">
        <f t="shared" si="43"/>
        <v>7.2387377467446793E-31</v>
      </c>
      <c r="U246" s="1">
        <f t="shared" si="44"/>
        <v>1.0406112877297279E+98</v>
      </c>
      <c r="Y246" s="1">
        <f t="shared" si="45"/>
        <v>0</v>
      </c>
      <c r="AB246" s="1">
        <f t="shared" si="46"/>
        <v>0</v>
      </c>
      <c r="AF246" s="1">
        <f t="shared" ref="AF246:AF309" si="49">0.5*D246*((I246-N246)+($Q$44)*(P246-R246)+U246*(Y246-($Q$84*AB246)))</f>
        <v>0.57634043825385495</v>
      </c>
      <c r="AH246" s="1">
        <f t="shared" ref="AH246:AH309" si="50">$M$4*AF246</f>
        <v>57.634043825385497</v>
      </c>
      <c r="AJ246" s="1">
        <f t="shared" ref="AJ246:AJ309" si="51">AF246*$M$25</f>
        <v>172.3849765465169</v>
      </c>
      <c r="AL246" s="1">
        <f t="shared" ref="AL246:AL309" si="52">AF246*$M$27</f>
        <v>172.3849765465169</v>
      </c>
      <c r="AN246" s="1">
        <f t="shared" ref="AN246:AN309" si="53">AF246*$M$28</f>
        <v>0.17238497654651691</v>
      </c>
    </row>
    <row r="247" spans="2:40" x14ac:dyDescent="0.25">
      <c r="B247" s="1">
        <f t="shared" si="47"/>
        <v>1310</v>
      </c>
      <c r="D247" s="1">
        <f t="shared" si="48"/>
        <v>0.99096278334912624</v>
      </c>
      <c r="F247" s="1">
        <f t="shared" si="38"/>
        <v>-0.14613521501170254</v>
      </c>
      <c r="I247" s="1">
        <f t="shared" si="39"/>
        <v>1.1637296025683765</v>
      </c>
      <c r="L247" s="1">
        <f t="shared" si="40"/>
        <v>7.8458833595105251</v>
      </c>
      <c r="N247" s="1">
        <f t="shared" si="41"/>
        <v>1.3154505568460079E-28</v>
      </c>
      <c r="P247" s="1">
        <f t="shared" si="42"/>
        <v>3.5249142057071063E-115</v>
      </c>
      <c r="R247" s="1">
        <f t="shared" si="43"/>
        <v>1.187280438505206E-30</v>
      </c>
      <c r="U247" s="1">
        <f t="shared" si="44"/>
        <v>1.0406112877297279E+98</v>
      </c>
      <c r="Y247" s="1">
        <f t="shared" si="45"/>
        <v>0</v>
      </c>
      <c r="AB247" s="1">
        <f t="shared" si="46"/>
        <v>0</v>
      </c>
      <c r="AF247" s="1">
        <f t="shared" si="49"/>
        <v>0.57660636301346546</v>
      </c>
      <c r="AH247" s="1">
        <f t="shared" si="50"/>
        <v>57.660636301346543</v>
      </c>
      <c r="AJ247" s="1">
        <f t="shared" si="51"/>
        <v>172.46451535796569</v>
      </c>
      <c r="AL247" s="1">
        <f t="shared" si="52"/>
        <v>172.46451535796569</v>
      </c>
      <c r="AN247" s="1">
        <f t="shared" si="53"/>
        <v>0.17246451535796573</v>
      </c>
    </row>
    <row r="248" spans="2:40" x14ac:dyDescent="0.25">
      <c r="B248" s="1">
        <f t="shared" si="47"/>
        <v>1320</v>
      </c>
      <c r="D248" s="1">
        <f t="shared" si="48"/>
        <v>0.99089411200772959</v>
      </c>
      <c r="F248" s="1">
        <f t="shared" si="38"/>
        <v>-0.14669192260866767</v>
      </c>
      <c r="I248" s="1">
        <f t="shared" si="39"/>
        <v>1.164344456925027</v>
      </c>
      <c r="L248" s="1">
        <f t="shared" si="40"/>
        <v>7.8149963012275707</v>
      </c>
      <c r="N248" s="1">
        <f t="shared" si="41"/>
        <v>2.1420865432453958E-28</v>
      </c>
      <c r="P248" s="1">
        <f t="shared" si="42"/>
        <v>2.4506491573391324E-114</v>
      </c>
      <c r="R248" s="1">
        <f t="shared" si="43"/>
        <v>1.9328498742660864E-30</v>
      </c>
      <c r="U248" s="1">
        <f t="shared" si="44"/>
        <v>1.0406112877297279E+98</v>
      </c>
      <c r="Y248" s="1">
        <f t="shared" si="45"/>
        <v>0</v>
      </c>
      <c r="AB248" s="1">
        <f t="shared" si="46"/>
        <v>0</v>
      </c>
      <c r="AF248" s="1">
        <f t="shared" si="49"/>
        <v>0.57687103335792334</v>
      </c>
      <c r="AH248" s="1">
        <f t="shared" si="50"/>
        <v>57.687103335792337</v>
      </c>
      <c r="AJ248" s="1">
        <f t="shared" si="51"/>
        <v>172.54367897046558</v>
      </c>
      <c r="AL248" s="1">
        <f t="shared" si="52"/>
        <v>172.54367897046558</v>
      </c>
      <c r="AN248" s="1">
        <f t="shared" si="53"/>
        <v>0.17254367897046557</v>
      </c>
    </row>
    <row r="249" spans="2:40" x14ac:dyDescent="0.25">
      <c r="B249" s="1">
        <f t="shared" si="47"/>
        <v>1330</v>
      </c>
      <c r="D249" s="1">
        <f t="shared" si="48"/>
        <v>0.99082544542509199</v>
      </c>
      <c r="F249" s="1">
        <f t="shared" si="38"/>
        <v>-0.14724652542840583</v>
      </c>
      <c r="I249" s="1">
        <f t="shared" si="39"/>
        <v>1.164956886819426</v>
      </c>
      <c r="L249" s="1">
        <f t="shared" si="40"/>
        <v>7.7844540655861509</v>
      </c>
      <c r="N249" s="1">
        <f t="shared" si="41"/>
        <v>3.4627961750651423E-28</v>
      </c>
      <c r="P249" s="1">
        <f t="shared" si="42"/>
        <v>1.6548584286048358E-113</v>
      </c>
      <c r="R249" s="1">
        <f t="shared" si="43"/>
        <v>3.1237077283454697E-30</v>
      </c>
      <c r="U249" s="1">
        <f t="shared" si="44"/>
        <v>1.0406112877297279E+98</v>
      </c>
      <c r="Y249" s="1">
        <f t="shared" si="45"/>
        <v>0</v>
      </c>
      <c r="AB249" s="1">
        <f t="shared" si="46"/>
        <v>0</v>
      </c>
      <c r="AF249" s="1">
        <f t="shared" si="49"/>
        <v>0.57713446314194317</v>
      </c>
      <c r="AH249" s="1">
        <f t="shared" si="50"/>
        <v>57.713446314194314</v>
      </c>
      <c r="AJ249" s="1">
        <f t="shared" si="51"/>
        <v>172.62247152799893</v>
      </c>
      <c r="AL249" s="1">
        <f t="shared" si="52"/>
        <v>172.62247152799893</v>
      </c>
      <c r="AN249" s="1">
        <f t="shared" si="53"/>
        <v>0.17262247152799892</v>
      </c>
    </row>
    <row r="250" spans="2:40" x14ac:dyDescent="0.25">
      <c r="B250" s="1">
        <f t="shared" si="47"/>
        <v>1340</v>
      </c>
      <c r="D250" s="1">
        <f t="shared" si="48"/>
        <v>0.99075678360088371</v>
      </c>
      <c r="F250" s="1">
        <f t="shared" si="38"/>
        <v>-0.14779904716488865</v>
      </c>
      <c r="I250" s="1">
        <f t="shared" si="39"/>
        <v>1.1655669191858642</v>
      </c>
      <c r="L250" s="1">
        <f t="shared" si="40"/>
        <v>7.7542502228981878</v>
      </c>
      <c r="N250" s="1">
        <f t="shared" si="41"/>
        <v>5.5579573914233823E-28</v>
      </c>
      <c r="P250" s="1">
        <f t="shared" si="42"/>
        <v>1.0861025888685097E-112</v>
      </c>
      <c r="R250" s="1">
        <f t="shared" si="43"/>
        <v>5.0123461307763311E-30</v>
      </c>
      <c r="U250" s="1">
        <f t="shared" si="44"/>
        <v>1.0406112877297279E+98</v>
      </c>
      <c r="Y250" s="1">
        <f t="shared" si="45"/>
        <v>0</v>
      </c>
      <c r="AB250" s="1">
        <f t="shared" si="46"/>
        <v>0</v>
      </c>
      <c r="AF250" s="1">
        <f t="shared" si="49"/>
        <v>0.57739666596208894</v>
      </c>
      <c r="AH250" s="1">
        <f t="shared" si="50"/>
        <v>57.739666596208892</v>
      </c>
      <c r="AJ250" s="1">
        <f t="shared" si="51"/>
        <v>172.70089709733463</v>
      </c>
      <c r="AL250" s="1">
        <f t="shared" si="52"/>
        <v>172.70089709733463</v>
      </c>
      <c r="AN250" s="1">
        <f t="shared" si="53"/>
        <v>0.17270089709733466</v>
      </c>
    </row>
    <row r="251" spans="2:40" x14ac:dyDescent="0.25">
      <c r="B251" s="1">
        <f t="shared" si="47"/>
        <v>1350</v>
      </c>
      <c r="D251" s="1">
        <f t="shared" si="48"/>
        <v>0.990688126534775</v>
      </c>
      <c r="F251" s="1">
        <f t="shared" si="38"/>
        <v>-0.14834951107084843</v>
      </c>
      <c r="I251" s="1">
        <f t="shared" si="39"/>
        <v>1.1661745804585626</v>
      </c>
      <c r="L251" s="1">
        <f t="shared" si="40"/>
        <v>7.7243785103080409</v>
      </c>
      <c r="N251" s="1">
        <f t="shared" si="41"/>
        <v>8.8587143826412038E-28</v>
      </c>
      <c r="P251" s="1">
        <f t="shared" si="42"/>
        <v>6.9324371472130946E-112</v>
      </c>
      <c r="R251" s="1">
        <f t="shared" si="43"/>
        <v>7.986912813403322E-30</v>
      </c>
      <c r="U251" s="1">
        <f t="shared" si="44"/>
        <v>1.0406112877297279E+98</v>
      </c>
      <c r="Y251" s="1">
        <f t="shared" si="45"/>
        <v>0</v>
      </c>
      <c r="AB251" s="1">
        <f t="shared" si="46"/>
        <v>0</v>
      </c>
      <c r="AF251" s="1">
        <f t="shared" si="49"/>
        <v>0.57765765516348533</v>
      </c>
      <c r="AH251" s="1">
        <f t="shared" si="50"/>
        <v>57.76576551634853</v>
      </c>
      <c r="AJ251" s="1">
        <f t="shared" si="51"/>
        <v>172.77895967003545</v>
      </c>
      <c r="AL251" s="1">
        <f t="shared" si="52"/>
        <v>172.77895967003545</v>
      </c>
      <c r="AN251" s="1">
        <f t="shared" si="53"/>
        <v>0.17277895967003548</v>
      </c>
    </row>
    <row r="252" spans="2:40" x14ac:dyDescent="0.25">
      <c r="B252" s="1">
        <f t="shared" si="47"/>
        <v>1360</v>
      </c>
      <c r="D252" s="1">
        <f t="shared" si="48"/>
        <v>0.99061947422643615</v>
      </c>
      <c r="F252" s="1">
        <f t="shared" si="38"/>
        <v>-0.14889793996919701</v>
      </c>
      <c r="I252" s="1">
        <f t="shared" si="39"/>
        <v>1.1667798965845997</v>
      </c>
      <c r="L252" s="1">
        <f t="shared" si="40"/>
        <v>7.694832826265289</v>
      </c>
      <c r="N252" s="1">
        <f t="shared" si="41"/>
        <v>1.4023622115785275E-27</v>
      </c>
      <c r="P252" s="1">
        <f t="shared" si="42"/>
        <v>4.3059881780700592E-111</v>
      </c>
      <c r="R252" s="1">
        <f t="shared" si="43"/>
        <v>1.2640110573556409E-29</v>
      </c>
      <c r="U252" s="1">
        <f t="shared" si="44"/>
        <v>1.0406112877297279E+98</v>
      </c>
      <c r="Y252" s="1">
        <f t="shared" si="45"/>
        <v>0</v>
      </c>
      <c r="AB252" s="1">
        <f t="shared" si="46"/>
        <v>0</v>
      </c>
      <c r="AF252" s="1">
        <f t="shared" si="49"/>
        <v>0.57791744384630583</v>
      </c>
      <c r="AH252" s="1">
        <f t="shared" si="50"/>
        <v>57.791744384630583</v>
      </c>
      <c r="AJ252" s="1">
        <f t="shared" si="51"/>
        <v>172.85666316439853</v>
      </c>
      <c r="AL252" s="1">
        <f t="shared" si="52"/>
        <v>172.85666316439853</v>
      </c>
      <c r="AN252" s="1">
        <f t="shared" si="53"/>
        <v>0.17285666316439854</v>
      </c>
    </row>
    <row r="253" spans="2:40" x14ac:dyDescent="0.25">
      <c r="B253" s="1">
        <f t="shared" si="47"/>
        <v>1370</v>
      </c>
      <c r="D253" s="1">
        <f t="shared" si="48"/>
        <v>0.9905508266755374</v>
      </c>
      <c r="F253" s="1">
        <f t="shared" si="38"/>
        <v>-0.14944435626406707</v>
      </c>
      <c r="I253" s="1">
        <f t="shared" si="39"/>
        <v>1.167382893036409</v>
      </c>
      <c r="L253" s="1">
        <f t="shared" si="40"/>
        <v>7.665607225219734</v>
      </c>
      <c r="N253" s="1">
        <f t="shared" si="41"/>
        <v>2.2052030185937357E-27</v>
      </c>
      <c r="P253" s="1">
        <f t="shared" si="42"/>
        <v>2.6042966454317622E-110</v>
      </c>
      <c r="R253" s="1">
        <f t="shared" si="43"/>
        <v>1.9871090648896051E-29</v>
      </c>
      <c r="U253" s="1">
        <f t="shared" si="44"/>
        <v>1.0406112877297279E+98</v>
      </c>
      <c r="Y253" s="1">
        <f t="shared" si="45"/>
        <v>0</v>
      </c>
      <c r="AB253" s="1">
        <f t="shared" si="46"/>
        <v>0</v>
      </c>
      <c r="AF253" s="1">
        <f t="shared" si="49"/>
        <v>0.57817604487204766</v>
      </c>
      <c r="AH253" s="1">
        <f t="shared" si="50"/>
        <v>57.817604487204768</v>
      </c>
      <c r="AJ253" s="1">
        <f t="shared" si="51"/>
        <v>172.93401142733228</v>
      </c>
      <c r="AL253" s="1">
        <f t="shared" si="52"/>
        <v>172.93401142733228</v>
      </c>
      <c r="AN253" s="1">
        <f t="shared" si="53"/>
        <v>0.17293401142733228</v>
      </c>
    </row>
    <row r="254" spans="2:40" x14ac:dyDescent="0.25">
      <c r="B254" s="1">
        <f t="shared" si="47"/>
        <v>1380</v>
      </c>
      <c r="D254" s="1">
        <f t="shared" si="48"/>
        <v>0.99048218388174902</v>
      </c>
      <c r="F254" s="1">
        <f t="shared" si="38"/>
        <v>-0.14998878195149201</v>
      </c>
      <c r="I254" s="1">
        <f t="shared" si="39"/>
        <v>1.1679835948238675</v>
      </c>
      <c r="L254" s="1">
        <f t="shared" si="40"/>
        <v>7.6366959125281415</v>
      </c>
      <c r="N254" s="1">
        <f t="shared" si="41"/>
        <v>3.4450760715696049E-27</v>
      </c>
      <c r="P254" s="1">
        <f t="shared" si="42"/>
        <v>1.5345824158167716E-109</v>
      </c>
      <c r="R254" s="1">
        <f t="shared" si="43"/>
        <v>3.1035190921423133E-29</v>
      </c>
      <c r="U254" s="1">
        <f t="shared" si="44"/>
        <v>1.0406112877297279E+98</v>
      </c>
      <c r="Y254" s="1">
        <f t="shared" si="45"/>
        <v>0</v>
      </c>
      <c r="AB254" s="1">
        <f t="shared" si="46"/>
        <v>0</v>
      </c>
      <c r="AF254" s="1">
        <f t="shared" si="49"/>
        <v>0.57843347086960006</v>
      </c>
      <c r="AH254" s="1">
        <f t="shared" si="50"/>
        <v>57.843347086960009</v>
      </c>
      <c r="AJ254" s="1">
        <f t="shared" si="51"/>
        <v>173.01100823617148</v>
      </c>
      <c r="AL254" s="1">
        <f t="shared" si="52"/>
        <v>173.01100823617148</v>
      </c>
      <c r="AN254" s="1">
        <f t="shared" si="53"/>
        <v>0.17301100823617149</v>
      </c>
    </row>
    <row r="255" spans="2:40" x14ac:dyDescent="0.25">
      <c r="B255" s="1">
        <f t="shared" si="47"/>
        <v>1390</v>
      </c>
      <c r="D255" s="1">
        <f t="shared" si="48"/>
        <v>0.99041354584474151</v>
      </c>
      <c r="F255" s="1">
        <f t="shared" si="38"/>
        <v>-0.15053123862973769</v>
      </c>
      <c r="I255" s="1">
        <f t="shared" si="39"/>
        <v>1.1685820265059923</v>
      </c>
      <c r="L255" s="1">
        <f t="shared" si="40"/>
        <v>7.608093239562808</v>
      </c>
      <c r="N255" s="1">
        <f t="shared" si="41"/>
        <v>5.3477621895354947E-27</v>
      </c>
      <c r="P255" s="1">
        <f t="shared" si="42"/>
        <v>8.8148782581323864E-109</v>
      </c>
      <c r="R255" s="1">
        <f t="shared" si="43"/>
        <v>4.8162630180754982E-29</v>
      </c>
      <c r="U255" s="1">
        <f t="shared" si="44"/>
        <v>1.0406112877297279E+98</v>
      </c>
      <c r="Y255" s="1">
        <f t="shared" si="45"/>
        <v>0</v>
      </c>
      <c r="AB255" s="1">
        <f t="shared" si="46"/>
        <v>0</v>
      </c>
      <c r="AF255" s="1">
        <f t="shared" si="49"/>
        <v>0.5786897342411168</v>
      </c>
      <c r="AH255" s="1">
        <f t="shared" si="50"/>
        <v>57.86897342411168</v>
      </c>
      <c r="AJ255" s="1">
        <f t="shared" si="51"/>
        <v>173.0876573004337</v>
      </c>
      <c r="AL255" s="1">
        <f t="shared" si="52"/>
        <v>173.0876573004337</v>
      </c>
      <c r="AN255" s="1">
        <f t="shared" si="53"/>
        <v>0.17308765730043371</v>
      </c>
    </row>
    <row r="256" spans="2:40" x14ac:dyDescent="0.25">
      <c r="B256" s="1">
        <f t="shared" si="47"/>
        <v>1400</v>
      </c>
      <c r="D256" s="1">
        <f t="shared" si="48"/>
        <v>0.99034491256418511</v>
      </c>
      <c r="F256" s="1">
        <f t="shared" si="38"/>
        <v>-0.15107174750930052</v>
      </c>
      <c r="I256" s="1">
        <f t="shared" si="39"/>
        <v>1.1691782122022578</v>
      </c>
      <c r="L256" s="1">
        <f t="shared" si="40"/>
        <v>7.5797936990125585</v>
      </c>
      <c r="N256" s="1">
        <f t="shared" si="41"/>
        <v>8.2495035641498515E-27</v>
      </c>
      <c r="P256" s="1">
        <f t="shared" si="42"/>
        <v>4.9386240511799574E-108</v>
      </c>
      <c r="R256" s="1">
        <f t="shared" si="43"/>
        <v>7.4275990772060788E-29</v>
      </c>
      <c r="U256" s="1">
        <f t="shared" si="44"/>
        <v>1.0406112877297279E+98</v>
      </c>
      <c r="Y256" s="1">
        <f t="shared" si="45"/>
        <v>0</v>
      </c>
      <c r="AB256" s="1">
        <f t="shared" si="46"/>
        <v>0</v>
      </c>
      <c r="AF256" s="1">
        <f t="shared" si="49"/>
        <v>0.57894484716769767</v>
      </c>
      <c r="AH256" s="1">
        <f t="shared" si="50"/>
        <v>57.894484716769767</v>
      </c>
      <c r="AJ256" s="1">
        <f t="shared" si="51"/>
        <v>173.1639622635187</v>
      </c>
      <c r="AL256" s="1">
        <f t="shared" si="52"/>
        <v>173.1639622635187</v>
      </c>
      <c r="AN256" s="1">
        <f t="shared" si="53"/>
        <v>0.17316396226351871</v>
      </c>
    </row>
    <row r="257" spans="2:40" x14ac:dyDescent="0.25">
      <c r="B257" s="1">
        <f t="shared" si="47"/>
        <v>1410</v>
      </c>
      <c r="D257" s="1">
        <f t="shared" si="48"/>
        <v>0.99027628403975021</v>
      </c>
      <c r="F257" s="1">
        <f t="shared" si="38"/>
        <v>-0.15161032942258473</v>
      </c>
      <c r="I257" s="1">
        <f t="shared" si="39"/>
        <v>1.1697721756035508</v>
      </c>
      <c r="L257" s="1">
        <f t="shared" si="40"/>
        <v>7.5517919203673092</v>
      </c>
      <c r="N257" s="1">
        <f t="shared" si="41"/>
        <v>1.2648054888966519E-26</v>
      </c>
      <c r="P257" s="1">
        <f t="shared" si="42"/>
        <v>2.7001609152824458E-107</v>
      </c>
      <c r="R257" s="1">
        <f t="shared" si="43"/>
        <v>1.1384840102422327E-28</v>
      </c>
      <c r="U257" s="1">
        <f t="shared" si="44"/>
        <v>1.0406112877297279E+98</v>
      </c>
      <c r="Y257" s="1">
        <f t="shared" si="45"/>
        <v>0</v>
      </c>
      <c r="AB257" s="1">
        <f t="shared" si="46"/>
        <v>0</v>
      </c>
      <c r="AF257" s="1">
        <f t="shared" si="49"/>
        <v>0.57919882161488923</v>
      </c>
      <c r="AH257" s="1">
        <f t="shared" si="50"/>
        <v>57.919882161488921</v>
      </c>
      <c r="AJ257" s="1">
        <f t="shared" si="51"/>
        <v>173.23992670435368</v>
      </c>
      <c r="AL257" s="1">
        <f t="shared" si="52"/>
        <v>173.23992670435368</v>
      </c>
      <c r="AN257" s="1">
        <f t="shared" si="53"/>
        <v>0.17323992670435368</v>
      </c>
    </row>
    <row r="258" spans="2:40" x14ac:dyDescent="0.25">
      <c r="B258" s="1">
        <f t="shared" si="47"/>
        <v>1420</v>
      </c>
      <c r="D258" s="1">
        <f t="shared" si="48"/>
        <v>0.99020766027110729</v>
      </c>
      <c r="F258" s="1">
        <f t="shared" si="38"/>
        <v>-0.15214700483327126</v>
      </c>
      <c r="I258" s="1">
        <f t="shared" si="39"/>
        <v>1.1703639399827774</v>
      </c>
      <c r="L258" s="1">
        <f t="shared" si="40"/>
        <v>7.5240826655777493</v>
      </c>
      <c r="N258" s="1">
        <f t="shared" si="41"/>
        <v>1.9275958528321239E-26</v>
      </c>
      <c r="P258" s="1">
        <f t="shared" si="42"/>
        <v>1.4414226744313024E-106</v>
      </c>
      <c r="R258" s="1">
        <f t="shared" si="43"/>
        <v>1.7346096450770818E-28</v>
      </c>
      <c r="U258" s="1">
        <f t="shared" si="44"/>
        <v>1.0406112877297279E+98</v>
      </c>
      <c r="Y258" s="1">
        <f t="shared" si="45"/>
        <v>0</v>
      </c>
      <c r="AB258" s="1">
        <f t="shared" si="46"/>
        <v>0</v>
      </c>
      <c r="AF258" s="1">
        <f t="shared" si="49"/>
        <v>0.57945166933801029</v>
      </c>
      <c r="AH258" s="1">
        <f t="shared" si="50"/>
        <v>57.945166933801026</v>
      </c>
      <c r="AJ258" s="1">
        <f t="shared" si="51"/>
        <v>173.3155541389861</v>
      </c>
      <c r="AL258" s="1">
        <f t="shared" si="52"/>
        <v>173.3155541389861</v>
      </c>
      <c r="AN258" s="1">
        <f t="shared" si="53"/>
        <v>0.17331555413898611</v>
      </c>
    </row>
    <row r="259" spans="2:40" x14ac:dyDescent="0.25">
      <c r="B259" s="1">
        <f t="shared" si="47"/>
        <v>1430</v>
      </c>
      <c r="D259" s="1">
        <f t="shared" si="48"/>
        <v>0.99013904125792673</v>
      </c>
      <c r="F259" s="1">
        <f t="shared" si="38"/>
        <v>-0.15268179384539035</v>
      </c>
      <c r="I259" s="1">
        <f t="shared" si="39"/>
        <v>1.1709535282051333</v>
      </c>
      <c r="L259" s="1">
        <f t="shared" si="40"/>
        <v>7.4966608248822109</v>
      </c>
      <c r="N259" s="1">
        <f t="shared" si="41"/>
        <v>2.9205126138240743E-26</v>
      </c>
      <c r="P259" s="1">
        <f t="shared" si="42"/>
        <v>7.5167274564609232E-106</v>
      </c>
      <c r="R259" s="1">
        <f t="shared" si="43"/>
        <v>2.6274076795826429E-28</v>
      </c>
      <c r="U259" s="1">
        <f t="shared" si="44"/>
        <v>1.0406112877297279E+98</v>
      </c>
      <c r="Y259" s="1">
        <f t="shared" si="45"/>
        <v>0</v>
      </c>
      <c r="AB259" s="1">
        <f t="shared" si="46"/>
        <v>0</v>
      </c>
      <c r="AF259" s="1">
        <f t="shared" si="49"/>
        <v>0.57970340188730873</v>
      </c>
      <c r="AH259" s="1">
        <f t="shared" si="50"/>
        <v>57.970340188730873</v>
      </c>
      <c r="AJ259" s="1">
        <f t="shared" si="51"/>
        <v>173.39084802212622</v>
      </c>
      <c r="AL259" s="1">
        <f t="shared" si="52"/>
        <v>173.39084802212622</v>
      </c>
      <c r="AN259" s="1">
        <f t="shared" si="53"/>
        <v>0.17339084802212623</v>
      </c>
    </row>
    <row r="260" spans="2:40" x14ac:dyDescent="0.25">
      <c r="B260" s="1">
        <f t="shared" si="47"/>
        <v>1440</v>
      </c>
      <c r="D260" s="1">
        <f t="shared" si="48"/>
        <v>0.99007042699987913</v>
      </c>
      <c r="F260" s="1">
        <f t="shared" si="38"/>
        <v>-0.153214716212109</v>
      </c>
      <c r="I260" s="1">
        <f t="shared" si="39"/>
        <v>1.1715409627380529</v>
      </c>
      <c r="L260" s="1">
        <f t="shared" si="40"/>
        <v>7.4695214127931173</v>
      </c>
      <c r="N260" s="1">
        <f t="shared" si="41"/>
        <v>4.3995279757856062E-26</v>
      </c>
      <c r="P260" s="1">
        <f t="shared" si="42"/>
        <v>3.8310135708704408E-105</v>
      </c>
      <c r="R260" s="1">
        <f t="shared" si="43"/>
        <v>3.9569183829491511E-28</v>
      </c>
      <c r="U260" s="1">
        <f t="shared" si="44"/>
        <v>1.0406112877297279E+98</v>
      </c>
      <c r="Y260" s="1">
        <f t="shared" si="45"/>
        <v>0</v>
      </c>
      <c r="AB260" s="1">
        <f t="shared" si="46"/>
        <v>0</v>
      </c>
      <c r="AF260" s="1">
        <f t="shared" si="49"/>
        <v>0.57995403061295669</v>
      </c>
      <c r="AH260" s="1">
        <f t="shared" si="50"/>
        <v>57.995403061295669</v>
      </c>
      <c r="AJ260" s="1">
        <f t="shared" si="51"/>
        <v>173.46581174864104</v>
      </c>
      <c r="AL260" s="1">
        <f t="shared" si="52"/>
        <v>173.46581174864104</v>
      </c>
      <c r="AN260" s="1">
        <f t="shared" si="53"/>
        <v>0.17346581174864106</v>
      </c>
    </row>
    <row r="261" spans="2:40" x14ac:dyDescent="0.25">
      <c r="B261" s="1">
        <f t="shared" si="47"/>
        <v>1450</v>
      </c>
      <c r="D261" s="1">
        <f t="shared" si="48"/>
        <v>0.99000181749663474</v>
      </c>
      <c r="F261" s="1">
        <f t="shared" si="38"/>
        <v>-0.15374579134424432</v>
      </c>
      <c r="I261" s="1">
        <f t="shared" si="39"/>
        <v>1.1721262656608467</v>
      </c>
      <c r="L261" s="1">
        <f t="shared" si="40"/>
        <v>7.4426595642359077</v>
      </c>
      <c r="N261" s="1">
        <f t="shared" si="41"/>
        <v>6.5903510078014039E-26</v>
      </c>
      <c r="P261" s="1">
        <f t="shared" si="42"/>
        <v>1.909201874067526E-104</v>
      </c>
      <c r="R261" s="1">
        <f t="shared" si="43"/>
        <v>5.9257347852800783E-28</v>
      </c>
      <c r="U261" s="1">
        <f t="shared" si="44"/>
        <v>1.0406112877297279E+98</v>
      </c>
      <c r="Y261" s="1">
        <f t="shared" si="45"/>
        <v>0</v>
      </c>
      <c r="AB261" s="1">
        <f t="shared" si="46"/>
        <v>0</v>
      </c>
      <c r="AF261" s="1">
        <f t="shared" si="49"/>
        <v>0.58020356666989081</v>
      </c>
      <c r="AH261" s="1">
        <f t="shared" si="50"/>
        <v>58.02035666698908</v>
      </c>
      <c r="AJ261" s="1">
        <f t="shared" si="51"/>
        <v>173.54044865500219</v>
      </c>
      <c r="AL261" s="1">
        <f t="shared" si="52"/>
        <v>173.54044865500219</v>
      </c>
      <c r="AN261" s="1">
        <f t="shared" si="53"/>
        <v>0.17354044865500221</v>
      </c>
    </row>
    <row r="262" spans="2:40" x14ac:dyDescent="0.25">
      <c r="B262" s="1">
        <f t="shared" si="47"/>
        <v>1460</v>
      </c>
      <c r="D262" s="1">
        <f t="shared" si="48"/>
        <v>0.98993321274786428</v>
      </c>
      <c r="F262" s="1">
        <f t="shared" si="38"/>
        <v>-0.15427503831851322</v>
      </c>
      <c r="I262" s="1">
        <f t="shared" si="39"/>
        <v>1.1727094586740425</v>
      </c>
      <c r="L262" s="1">
        <f t="shared" si="40"/>
        <v>7.4160705308335793</v>
      </c>
      <c r="N262" s="1">
        <f t="shared" si="41"/>
        <v>9.8178554289457658E-26</v>
      </c>
      <c r="P262" s="1">
        <f t="shared" si="42"/>
        <v>9.307723909228698E-104</v>
      </c>
      <c r="R262" s="1">
        <f t="shared" si="43"/>
        <v>8.8253711161065163E-28</v>
      </c>
      <c r="U262" s="1">
        <f t="shared" si="44"/>
        <v>1.0406112877297279E+98</v>
      </c>
      <c r="Y262" s="1">
        <f t="shared" si="45"/>
        <v>0</v>
      </c>
      <c r="AB262" s="1">
        <f t="shared" si="46"/>
        <v>0</v>
      </c>
      <c r="AF262" s="1">
        <f t="shared" si="49"/>
        <v>0.58045202102250182</v>
      </c>
      <c r="AH262" s="1">
        <f t="shared" si="50"/>
        <v>58.04520210225018</v>
      </c>
      <c r="AJ262" s="1">
        <f t="shared" si="51"/>
        <v>173.61476202068846</v>
      </c>
      <c r="AL262" s="1">
        <f t="shared" si="52"/>
        <v>173.61476202068846</v>
      </c>
      <c r="AN262" s="1">
        <f t="shared" si="53"/>
        <v>0.17361476202068846</v>
      </c>
    </row>
    <row r="263" spans="2:40" x14ac:dyDescent="0.25">
      <c r="B263" s="1">
        <f t="shared" si="47"/>
        <v>1470</v>
      </c>
      <c r="D263" s="1">
        <f t="shared" si="48"/>
        <v>0.98986461275323812</v>
      </c>
      <c r="F263" s="1">
        <f t="shared" si="38"/>
        <v>-0.1548024758855282</v>
      </c>
      <c r="I263" s="1">
        <f t="shared" si="39"/>
        <v>1.1732905631084383</v>
      </c>
      <c r="L263" s="1">
        <f t="shared" si="40"/>
        <v>7.3897496773304496</v>
      </c>
      <c r="N263" s="1">
        <f t="shared" si="41"/>
        <v>1.4547190913505219E-25</v>
      </c>
      <c r="P263" s="1">
        <f t="shared" si="42"/>
        <v>4.4410265472188124E-103</v>
      </c>
      <c r="R263" s="1">
        <f t="shared" si="43"/>
        <v>1.3073088104992411E-27</v>
      </c>
      <c r="U263" s="1">
        <f t="shared" si="44"/>
        <v>1.0406112877297279E+98</v>
      </c>
      <c r="Y263" s="1">
        <f t="shared" si="45"/>
        <v>0</v>
      </c>
      <c r="AB263" s="1">
        <f t="shared" si="46"/>
        <v>0</v>
      </c>
      <c r="AF263" s="1">
        <f t="shared" si="49"/>
        <v>0.58069940444918144</v>
      </c>
      <c r="AH263" s="1">
        <f t="shared" si="50"/>
        <v>58.069940444918146</v>
      </c>
      <c r="AJ263" s="1">
        <f t="shared" si="51"/>
        <v>173.68875506954575</v>
      </c>
      <c r="AL263" s="1">
        <f t="shared" si="52"/>
        <v>173.68875506954575</v>
      </c>
      <c r="AN263" s="1">
        <f t="shared" si="53"/>
        <v>0.17368875506954579</v>
      </c>
    </row>
    <row r="264" spans="2:40" x14ac:dyDescent="0.25">
      <c r="B264" s="1">
        <f t="shared" si="47"/>
        <v>1480</v>
      </c>
      <c r="D264" s="1">
        <f t="shared" si="48"/>
        <v>0.98979601751242685</v>
      </c>
      <c r="F264" s="1">
        <f t="shared" si="38"/>
        <v>-0.15532812247754862</v>
      </c>
      <c r="I264" s="1">
        <f t="shared" si="39"/>
        <v>1.1738695999338773</v>
      </c>
      <c r="L264" s="1">
        <f t="shared" si="40"/>
        <v>7.3636924781489617</v>
      </c>
      <c r="N264" s="1">
        <f t="shared" si="41"/>
        <v>2.144092613184182E-25</v>
      </c>
      <c r="P264" s="1">
        <f t="shared" si="42"/>
        <v>2.0747270857441883E-102</v>
      </c>
      <c r="R264" s="1">
        <f t="shared" si="43"/>
        <v>1.926306191803505E-27</v>
      </c>
      <c r="U264" s="1">
        <f t="shared" si="44"/>
        <v>1.0406112877297279E+98</v>
      </c>
      <c r="Y264" s="1">
        <f t="shared" si="45"/>
        <v>0</v>
      </c>
      <c r="AB264" s="1">
        <f t="shared" si="46"/>
        <v>0</v>
      </c>
      <c r="AF264" s="1">
        <f t="shared" si="49"/>
        <v>0.5809457275467288</v>
      </c>
      <c r="AH264" s="1">
        <f t="shared" si="50"/>
        <v>58.094572754672882</v>
      </c>
      <c r="AJ264" s="1">
        <f t="shared" si="51"/>
        <v>173.76243097110529</v>
      </c>
      <c r="AL264" s="1">
        <f t="shared" si="52"/>
        <v>173.76243097110529</v>
      </c>
      <c r="AN264" s="1">
        <f t="shared" si="53"/>
        <v>0.1737624309711053</v>
      </c>
    </row>
    <row r="265" spans="2:40" x14ac:dyDescent="0.25">
      <c r="B265" s="1">
        <f t="shared" si="47"/>
        <v>1490</v>
      </c>
      <c r="D265" s="1">
        <f t="shared" si="48"/>
        <v>0.98972742702510108</v>
      </c>
      <c r="F265" s="1">
        <f t="shared" si="38"/>
        <v>-0.15585199621599707</v>
      </c>
      <c r="I265" s="1">
        <f t="shared" si="39"/>
        <v>1.1744465897677596</v>
      </c>
      <c r="L265" s="1">
        <f t="shared" si="40"/>
        <v>7.3378945140737954</v>
      </c>
      <c r="N265" s="1">
        <f t="shared" si="41"/>
        <v>3.1438082025574424E-25</v>
      </c>
      <c r="P265" s="1">
        <f t="shared" si="42"/>
        <v>9.4942513110441356E-102</v>
      </c>
      <c r="R265" s="1">
        <f t="shared" si="43"/>
        <v>2.8237131616288605E-27</v>
      </c>
      <c r="U265" s="1">
        <f t="shared" si="44"/>
        <v>1.0406112877297279E+98</v>
      </c>
      <c r="Y265" s="1">
        <f t="shared" si="45"/>
        <v>0</v>
      </c>
      <c r="AB265" s="1">
        <f t="shared" si="46"/>
        <v>0</v>
      </c>
      <c r="AF265" s="1">
        <f t="shared" si="49"/>
        <v>0.5811910007346246</v>
      </c>
      <c r="AH265" s="1">
        <f t="shared" si="50"/>
        <v>58.119100073462462</v>
      </c>
      <c r="AJ265" s="1">
        <f t="shared" si="51"/>
        <v>173.83579284186175</v>
      </c>
      <c r="AL265" s="1">
        <f t="shared" si="52"/>
        <v>173.83579284186175</v>
      </c>
      <c r="AN265" s="1">
        <f t="shared" si="53"/>
        <v>0.17383579284186176</v>
      </c>
    </row>
    <row r="266" spans="2:40" x14ac:dyDescent="0.25">
      <c r="B266" s="1">
        <f t="shared" si="47"/>
        <v>1500</v>
      </c>
      <c r="D266" s="1">
        <f t="shared" si="48"/>
        <v>0.9896588412909314</v>
      </c>
      <c r="F266" s="1">
        <f t="shared" si="38"/>
        <v>-0.15637411491874853</v>
      </c>
      <c r="I266" s="1">
        <f t="shared" si="39"/>
        <v>1.175021552883295</v>
      </c>
      <c r="L266" s="1">
        <f t="shared" si="40"/>
        <v>7.3123514690576705</v>
      </c>
      <c r="N266" s="1">
        <f t="shared" si="41"/>
        <v>4.5862911058044181E-25</v>
      </c>
      <c r="P266" s="1">
        <f t="shared" si="42"/>
        <v>4.2575729738206025E-101</v>
      </c>
      <c r="R266" s="1">
        <f t="shared" si="43"/>
        <v>4.1182142117673718E-27</v>
      </c>
      <c r="U266" s="1">
        <f t="shared" si="44"/>
        <v>1.0406112877297279E+98</v>
      </c>
      <c r="Y266" s="1">
        <f t="shared" si="45"/>
        <v>0</v>
      </c>
      <c r="AB266" s="1">
        <f t="shared" si="46"/>
        <v>0</v>
      </c>
      <c r="AF266" s="1">
        <f t="shared" si="49"/>
        <v>0.58143523425917631</v>
      </c>
      <c r="AH266" s="1">
        <f t="shared" si="50"/>
        <v>58.143523425917628</v>
      </c>
      <c r="AJ266" s="1">
        <f t="shared" si="51"/>
        <v>173.90884374651333</v>
      </c>
      <c r="AL266" s="1">
        <f t="shared" si="52"/>
        <v>173.90884374651333</v>
      </c>
      <c r="AN266" s="1">
        <f t="shared" si="53"/>
        <v>0.17390884374651333</v>
      </c>
    </row>
    <row r="267" spans="2:40" x14ac:dyDescent="0.25">
      <c r="B267" s="1">
        <f t="shared" si="47"/>
        <v>1510</v>
      </c>
      <c r="D267" s="1">
        <f t="shared" si="48"/>
        <v>0.9895902603095883</v>
      </c>
      <c r="F267" s="1">
        <f t="shared" si="38"/>
        <v>-0.15689449610720191</v>
      </c>
      <c r="I267" s="1">
        <f t="shared" si="39"/>
        <v>1.1755945092175102</v>
      </c>
      <c r="L267" s="1">
        <f t="shared" si="40"/>
        <v>7.2870591271436753</v>
      </c>
      <c r="N267" s="1">
        <f t="shared" si="41"/>
        <v>6.6573907166939403E-25</v>
      </c>
      <c r="P267" s="1">
        <f t="shared" si="42"/>
        <v>1.8717155397107379E-100</v>
      </c>
      <c r="R267" s="1">
        <f t="shared" si="43"/>
        <v>5.9763244523809883E-27</v>
      </c>
      <c r="U267" s="1">
        <f t="shared" si="44"/>
        <v>1.0406112877297279E+98</v>
      </c>
      <c r="Y267" s="1">
        <f t="shared" si="45"/>
        <v>0</v>
      </c>
      <c r="AB267" s="1">
        <f t="shared" si="46"/>
        <v>0</v>
      </c>
      <c r="AF267" s="1">
        <f t="shared" si="49"/>
        <v>0.58167843819753928</v>
      </c>
      <c r="AH267" s="1">
        <f t="shared" si="50"/>
        <v>58.167843819753926</v>
      </c>
      <c r="AJ267" s="1">
        <f t="shared" si="51"/>
        <v>173.98158669916427</v>
      </c>
      <c r="AL267" s="1">
        <f t="shared" si="52"/>
        <v>173.98158669916427</v>
      </c>
      <c r="AN267" s="1">
        <f t="shared" si="53"/>
        <v>0.17398158669916428</v>
      </c>
    </row>
    <row r="268" spans="2:40" x14ac:dyDescent="0.25">
      <c r="B268" s="1">
        <f t="shared" si="47"/>
        <v>1520</v>
      </c>
      <c r="D268" s="1">
        <f t="shared" si="48"/>
        <v>0.9895216840807427</v>
      </c>
      <c r="F268" s="1">
        <f t="shared" si="38"/>
        <v>-0.15741315701314043</v>
      </c>
      <c r="I268" s="1">
        <f t="shared" si="39"/>
        <v>1.1761654783790172</v>
      </c>
      <c r="L268" s="1">
        <f t="shared" si="40"/>
        <v>7.2620133694990718</v>
      </c>
      <c r="N268" s="1">
        <f t="shared" si="41"/>
        <v>9.6166976020589035E-25</v>
      </c>
      <c r="P268" s="1">
        <f t="shared" si="42"/>
        <v>8.0698246948631484E-100</v>
      </c>
      <c r="R268" s="1">
        <f t="shared" si="43"/>
        <v>8.6305587080132081E-27</v>
      </c>
      <c r="U268" s="1">
        <f t="shared" si="44"/>
        <v>1.0406112877297279E+98</v>
      </c>
      <c r="Y268" s="1">
        <f t="shared" si="45"/>
        <v>0</v>
      </c>
      <c r="AB268" s="1">
        <f t="shared" si="46"/>
        <v>0</v>
      </c>
      <c r="AF268" s="1">
        <f t="shared" si="49"/>
        <v>0.58192062246161869</v>
      </c>
      <c r="AH268" s="1">
        <f t="shared" si="50"/>
        <v>58.192062246161868</v>
      </c>
      <c r="AJ268" s="1">
        <f t="shared" si="51"/>
        <v>174.05402466449209</v>
      </c>
      <c r="AL268" s="1">
        <f t="shared" si="52"/>
        <v>174.05402466449209</v>
      </c>
      <c r="AN268" s="1">
        <f t="shared" si="53"/>
        <v>0.1740540246644921</v>
      </c>
    </row>
    <row r="269" spans="2:40" x14ac:dyDescent="0.25">
      <c r="B269" s="1">
        <f t="shared" si="47"/>
        <v>1530</v>
      </c>
      <c r="D269" s="1">
        <f t="shared" si="48"/>
        <v>0.98945311260406499</v>
      </c>
      <c r="F269" s="1">
        <f t="shared" si="38"/>
        <v>-0.15793011458539</v>
      </c>
      <c r="I269" s="1">
        <f t="shared" si="39"/>
        <v>1.176734479655553</v>
      </c>
      <c r="L269" s="1">
        <f t="shared" si="40"/>
        <v>7.2372101715558896</v>
      </c>
      <c r="N269" s="1">
        <f t="shared" si="41"/>
        <v>1.3825118912135025E-24</v>
      </c>
      <c r="P269" s="1">
        <f t="shared" si="42"/>
        <v>3.4135051033341686E-99</v>
      </c>
      <c r="R269" s="1">
        <f t="shared" si="43"/>
        <v>1.2404083522139014E-26</v>
      </c>
      <c r="U269" s="1">
        <f t="shared" si="44"/>
        <v>1.0406112877297279E+98</v>
      </c>
      <c r="Y269" s="1">
        <f t="shared" si="45"/>
        <v>0</v>
      </c>
      <c r="AB269" s="1">
        <f t="shared" si="46"/>
        <v>0</v>
      </c>
      <c r="AF269" s="1">
        <f t="shared" si="49"/>
        <v>0.58216179680185587</v>
      </c>
      <c r="AH269" s="1">
        <f t="shared" si="50"/>
        <v>58.21617968018559</v>
      </c>
      <c r="AJ269" s="1">
        <f t="shared" si="51"/>
        <v>174.12616055888009</v>
      </c>
      <c r="AL269" s="1">
        <f t="shared" si="52"/>
        <v>174.12616055888009</v>
      </c>
      <c r="AN269" s="1">
        <f t="shared" si="53"/>
        <v>0.17412616055888011</v>
      </c>
    </row>
    <row r="270" spans="2:40" x14ac:dyDescent="0.25">
      <c r="B270" s="1">
        <f t="shared" si="47"/>
        <v>1540</v>
      </c>
      <c r="D270" s="1">
        <f t="shared" si="48"/>
        <v>0.98938454587922597</v>
      </c>
      <c r="F270" s="1">
        <f t="shared" si="38"/>
        <v>-0.15844538549628143</v>
      </c>
      <c r="I270" s="1">
        <f t="shared" si="39"/>
        <v>1.1773015320212972</v>
      </c>
      <c r="L270" s="1">
        <f t="shared" si="40"/>
        <v>7.2126456002537322</v>
      </c>
      <c r="N270" s="1">
        <f t="shared" si="41"/>
        <v>1.9782138231066686E-24</v>
      </c>
      <c r="P270" s="1">
        <f t="shared" si="42"/>
        <v>1.4171329770721288E-98</v>
      </c>
      <c r="R270" s="1">
        <f t="shared" si="43"/>
        <v>1.7744015930668792E-26</v>
      </c>
      <c r="U270" s="1">
        <f t="shared" si="44"/>
        <v>1.0406112877297279E+98</v>
      </c>
      <c r="Y270" s="1">
        <f t="shared" si="45"/>
        <v>0</v>
      </c>
      <c r="AB270" s="1">
        <f t="shared" si="46"/>
        <v>0</v>
      </c>
      <c r="AF270" s="1">
        <f t="shared" si="49"/>
        <v>0.58240197081090406</v>
      </c>
      <c r="AH270" s="1">
        <f t="shared" si="50"/>
        <v>58.240197081090407</v>
      </c>
      <c r="AJ270" s="1">
        <f t="shared" si="51"/>
        <v>174.19799725151663</v>
      </c>
      <c r="AL270" s="1">
        <f t="shared" si="52"/>
        <v>174.19799725151663</v>
      </c>
      <c r="AN270" s="1">
        <f t="shared" si="53"/>
        <v>0.17419799725151663</v>
      </c>
    </row>
    <row r="271" spans="2:40" x14ac:dyDescent="0.25">
      <c r="B271" s="1">
        <f t="shared" si="47"/>
        <v>1550</v>
      </c>
      <c r="D271" s="1">
        <f t="shared" si="48"/>
        <v>0.98931598390589637</v>
      </c>
      <c r="F271" s="1">
        <f t="shared" si="38"/>
        <v>-0.15895898614792447</v>
      </c>
      <c r="I271" s="1">
        <f t="shared" si="39"/>
        <v>1.1778666541439768</v>
      </c>
      <c r="L271" s="1">
        <f t="shared" si="40"/>
        <v>7.1883158113805674</v>
      </c>
      <c r="N271" s="1">
        <f t="shared" si="41"/>
        <v>2.8175940844268161E-24</v>
      </c>
      <c r="P271" s="1">
        <f t="shared" si="42"/>
        <v>5.7763229966793738E-98</v>
      </c>
      <c r="R271" s="1">
        <f t="shared" si="43"/>
        <v>2.5266205155575539E-26</v>
      </c>
      <c r="U271" s="1">
        <f t="shared" si="44"/>
        <v>1.0406112877297279E+98</v>
      </c>
      <c r="Y271" s="1">
        <f t="shared" si="45"/>
        <v>0</v>
      </c>
      <c r="AB271" s="1">
        <f t="shared" si="46"/>
        <v>0</v>
      </c>
      <c r="AF271" s="1">
        <f t="shared" si="49"/>
        <v>0.58264115392719729</v>
      </c>
      <c r="AH271" s="1">
        <f t="shared" si="50"/>
        <v>58.264115392719731</v>
      </c>
      <c r="AJ271" s="1">
        <f t="shared" si="51"/>
        <v>174.26953756546277</v>
      </c>
      <c r="AL271" s="1">
        <f t="shared" si="52"/>
        <v>174.26953756546277</v>
      </c>
      <c r="AN271" s="1">
        <f t="shared" si="53"/>
        <v>0.17426953756546279</v>
      </c>
    </row>
    <row r="272" spans="2:40" x14ac:dyDescent="0.25">
      <c r="B272" s="1">
        <f t="shared" si="47"/>
        <v>1560</v>
      </c>
      <c r="D272" s="1">
        <f t="shared" si="48"/>
        <v>0.98924742668374688</v>
      </c>
      <c r="F272" s="1">
        <f t="shared" si="38"/>
        <v>-0.15947093267829987</v>
      </c>
      <c r="I272" s="1">
        <f t="shared" si="39"/>
        <v>1.1784298643917659</v>
      </c>
      <c r="L272" s="1">
        <f t="shared" si="40"/>
        <v>7.1642170470073596</v>
      </c>
      <c r="N272" s="1">
        <f t="shared" si="41"/>
        <v>3.9950557696112263E-24</v>
      </c>
      <c r="P272" s="1">
        <f t="shared" si="42"/>
        <v>2.3124712835670491E-97</v>
      </c>
      <c r="R272" s="1">
        <f t="shared" si="43"/>
        <v>3.5815198903135269E-26</v>
      </c>
      <c r="U272" s="1">
        <f t="shared" si="44"/>
        <v>1.0406112877297279E+98</v>
      </c>
      <c r="Y272" s="1">
        <f t="shared" si="45"/>
        <v>0</v>
      </c>
      <c r="AB272" s="1">
        <f t="shared" si="46"/>
        <v>0</v>
      </c>
      <c r="AF272" s="1">
        <f t="shared" si="49"/>
        <v>0.58287935543841563</v>
      </c>
      <c r="AH272" s="1">
        <f t="shared" si="50"/>
        <v>58.287935543841563</v>
      </c>
      <c r="AJ272" s="1">
        <f t="shared" si="51"/>
        <v>174.34078427868857</v>
      </c>
      <c r="AL272" s="1">
        <f t="shared" si="52"/>
        <v>174.34078427868857</v>
      </c>
      <c r="AN272" s="1">
        <f t="shared" si="53"/>
        <v>0.1743407842786886</v>
      </c>
    </row>
    <row r="273" spans="2:40" x14ac:dyDescent="0.25">
      <c r="B273" s="1">
        <f t="shared" si="47"/>
        <v>1570</v>
      </c>
      <c r="D273" s="1">
        <f t="shared" si="48"/>
        <v>0.98917887421244821</v>
      </c>
      <c r="F273" s="1">
        <f t="shared" si="38"/>
        <v>-0.15998124096717614</v>
      </c>
      <c r="I273" s="1">
        <f t="shared" si="39"/>
        <v>1.1789911808399847</v>
      </c>
      <c r="L273" s="1">
        <f t="shared" si="40"/>
        <v>7.1403456330127009</v>
      </c>
      <c r="N273" s="1">
        <f t="shared" si="41"/>
        <v>5.6395428462610374E-24</v>
      </c>
      <c r="P273" s="1">
        <f t="shared" si="42"/>
        <v>9.0956665955652314E-97</v>
      </c>
      <c r="R273" s="1">
        <f t="shared" si="43"/>
        <v>5.0544205721166629E-26</v>
      </c>
      <c r="U273" s="1">
        <f t="shared" si="44"/>
        <v>1.0406112877297279E+98</v>
      </c>
      <c r="Y273" s="1">
        <f t="shared" si="45"/>
        <v>0</v>
      </c>
      <c r="AB273" s="1">
        <f t="shared" si="46"/>
        <v>0</v>
      </c>
      <c r="AF273" s="1">
        <f t="shared" si="49"/>
        <v>0.58311658448485049</v>
      </c>
      <c r="AH273" s="1">
        <f t="shared" si="50"/>
        <v>58.311658448485048</v>
      </c>
      <c r="AJ273" s="1">
        <f t="shared" si="51"/>
        <v>174.41174012507986</v>
      </c>
      <c r="AL273" s="1">
        <f t="shared" si="52"/>
        <v>174.41174012507986</v>
      </c>
      <c r="AN273" s="1">
        <f t="shared" si="53"/>
        <v>0.17441174012507987</v>
      </c>
    </row>
    <row r="274" spans="2:40" x14ac:dyDescent="0.25">
      <c r="B274" s="1">
        <f t="shared" si="47"/>
        <v>1580</v>
      </c>
      <c r="D274" s="1">
        <f t="shared" si="48"/>
        <v>0.9891103264916713</v>
      </c>
      <c r="F274" s="1">
        <f t="shared" si="38"/>
        <v>-0.16048992664185649</v>
      </c>
      <c r="I274" s="1">
        <f t="shared" si="39"/>
        <v>1.1795506212776092</v>
      </c>
      <c r="L274" s="1">
        <f t="shared" si="40"/>
        <v>7.1166979766936809</v>
      </c>
      <c r="N274" s="1">
        <f t="shared" si="41"/>
        <v>7.9264377467098783E-24</v>
      </c>
      <c r="P274" s="1">
        <f t="shared" si="42"/>
        <v>3.5161835453139453E-96</v>
      </c>
      <c r="R274" s="1">
        <f t="shared" si="43"/>
        <v>7.1021282100654491E-26</v>
      </c>
      <c r="U274" s="1">
        <f t="shared" si="44"/>
        <v>1.0406112877297279E+98</v>
      </c>
      <c r="Y274" s="1">
        <f t="shared" si="45"/>
        <v>0</v>
      </c>
      <c r="AB274" s="1">
        <f t="shared" si="46"/>
        <v>0</v>
      </c>
      <c r="AF274" s="1">
        <f t="shared" si="49"/>
        <v>0.5833528500626749</v>
      </c>
      <c r="AH274" s="1">
        <f t="shared" si="50"/>
        <v>58.33528500626749</v>
      </c>
      <c r="AJ274" s="1">
        <f t="shared" si="51"/>
        <v>174.48240779541618</v>
      </c>
      <c r="AL274" s="1">
        <f t="shared" si="52"/>
        <v>174.48240779541618</v>
      </c>
      <c r="AN274" s="1">
        <f t="shared" si="53"/>
        <v>0.17448240779541621</v>
      </c>
    </row>
    <row r="275" spans="2:40" x14ac:dyDescent="0.25">
      <c r="B275" s="1">
        <f t="shared" si="47"/>
        <v>1590</v>
      </c>
      <c r="D275" s="1">
        <f t="shared" si="48"/>
        <v>0.98904178352108674</v>
      </c>
      <c r="F275" s="1">
        <f t="shared" si="38"/>
        <v>-0.16099700508276327</v>
      </c>
      <c r="I275" s="1">
        <f t="shared" si="39"/>
        <v>1.1801082032135954</v>
      </c>
      <c r="L275" s="1">
        <f t="shared" si="40"/>
        <v>7.0932705644595355</v>
      </c>
      <c r="N275" s="1">
        <f t="shared" si="41"/>
        <v>1.1093302371872801E-23</v>
      </c>
      <c r="P275" s="1">
        <f t="shared" si="42"/>
        <v>1.3363776870561764E-95</v>
      </c>
      <c r="R275" s="1">
        <f t="shared" si="43"/>
        <v>9.9369775783718039E-26</v>
      </c>
      <c r="U275" s="1">
        <f t="shared" si="44"/>
        <v>1.0406112877297279E+98</v>
      </c>
      <c r="Y275" s="1">
        <f t="shared" si="45"/>
        <v>0</v>
      </c>
      <c r="AB275" s="1">
        <f t="shared" si="46"/>
        <v>0</v>
      </c>
      <c r="AF275" s="1">
        <f t="shared" si="49"/>
        <v>0.58358816102711975</v>
      </c>
      <c r="AH275" s="1">
        <f t="shared" si="50"/>
        <v>58.358816102711977</v>
      </c>
      <c r="AJ275" s="1">
        <f t="shared" si="51"/>
        <v>174.55278993832093</v>
      </c>
      <c r="AL275" s="1">
        <f t="shared" si="52"/>
        <v>174.55278993832093</v>
      </c>
      <c r="AN275" s="1">
        <f t="shared" si="53"/>
        <v>0.17455278993832093</v>
      </c>
    </row>
    <row r="276" spans="2:40" x14ac:dyDescent="0.25">
      <c r="B276" s="1">
        <f t="shared" si="47"/>
        <v>1600</v>
      </c>
      <c r="D276" s="1">
        <f t="shared" si="48"/>
        <v>0.98897324530036557</v>
      </c>
      <c r="F276" s="1">
        <f t="shared" si="38"/>
        <v>-0.16150249142886342</v>
      </c>
      <c r="I276" s="1">
        <f t="shared" si="39"/>
        <v>1.1806639438830238</v>
      </c>
      <c r="L276" s="1">
        <f t="shared" si="40"/>
        <v>7.0700599596046203</v>
      </c>
      <c r="N276" s="1">
        <f t="shared" si="41"/>
        <v>1.5460621659422883E-23</v>
      </c>
      <c r="P276" s="1">
        <f t="shared" si="42"/>
        <v>4.9951194356440802E-95</v>
      </c>
      <c r="R276" s="1">
        <f t="shared" si="43"/>
        <v>1.3845334113366929E-25</v>
      </c>
      <c r="U276" s="1">
        <f t="shared" si="44"/>
        <v>1.0406112877297279E+98</v>
      </c>
      <c r="Y276" s="1">
        <f t="shared" si="45"/>
        <v>0</v>
      </c>
      <c r="AB276" s="1">
        <f t="shared" si="46"/>
        <v>0</v>
      </c>
      <c r="AF276" s="1">
        <f t="shared" si="49"/>
        <v>0.5838225260955614</v>
      </c>
      <c r="AH276" s="1">
        <f t="shared" si="50"/>
        <v>58.38225260955614</v>
      </c>
      <c r="AJ276" s="1">
        <f t="shared" si="51"/>
        <v>174.62288916118484</v>
      </c>
      <c r="AL276" s="1">
        <f t="shared" si="52"/>
        <v>174.62288916118484</v>
      </c>
      <c r="AN276" s="1">
        <f t="shared" si="53"/>
        <v>0.17462288916118485</v>
      </c>
    </row>
    <row r="277" spans="2:40" x14ac:dyDescent="0.25">
      <c r="B277" s="1">
        <f t="shared" si="47"/>
        <v>1610</v>
      </c>
      <c r="D277" s="1">
        <f t="shared" si="48"/>
        <v>0.98890471182917838</v>
      </c>
      <c r="F277" s="1">
        <f t="shared" si="38"/>
        <v>-0.16200640058294277</v>
      </c>
      <c r="I277" s="1">
        <f t="shared" si="39"/>
        <v>1.1812178602530725</v>
      </c>
      <c r="L277" s="1">
        <f t="shared" si="40"/>
        <v>7.0470628001575912</v>
      </c>
      <c r="N277" s="1">
        <f t="shared" si="41"/>
        <v>2.1459033459844718E-23</v>
      </c>
      <c r="P277" s="1">
        <f t="shared" si="42"/>
        <v>1.8367768340958392E-94</v>
      </c>
      <c r="R277" s="1">
        <f t="shared" si="43"/>
        <v>1.921187261951778E-25</v>
      </c>
      <c r="U277" s="1">
        <f t="shared" si="44"/>
        <v>1.0406112877297279E+98</v>
      </c>
      <c r="Y277" s="1">
        <f t="shared" si="45"/>
        <v>0</v>
      </c>
      <c r="AB277" s="1">
        <f t="shared" si="46"/>
        <v>0</v>
      </c>
      <c r="AF277" s="1">
        <f t="shared" si="49"/>
        <v>0.58405595385052167</v>
      </c>
      <c r="AH277" s="1">
        <f t="shared" si="50"/>
        <v>58.405595385052166</v>
      </c>
      <c r="AJ277" s="1">
        <f t="shared" si="51"/>
        <v>174.69270803106329</v>
      </c>
      <c r="AL277" s="1">
        <f t="shared" si="52"/>
        <v>174.69270803106329</v>
      </c>
      <c r="AN277" s="1">
        <f t="shared" si="53"/>
        <v>0.17469270803106329</v>
      </c>
    </row>
    <row r="278" spans="2:40" x14ac:dyDescent="0.25">
      <c r="B278" s="1">
        <f t="shared" si="47"/>
        <v>1620</v>
      </c>
      <c r="D278" s="1">
        <f t="shared" si="48"/>
        <v>0.98883618310719634</v>
      </c>
      <c r="F278" s="1">
        <f t="shared" si="38"/>
        <v>-0.16250874721673211</v>
      </c>
      <c r="I278" s="1">
        <f t="shared" si="39"/>
        <v>1.1817699690288237</v>
      </c>
      <c r="L278" s="1">
        <f t="shared" si="40"/>
        <v>7.0242757968036535</v>
      </c>
      <c r="N278" s="1">
        <f t="shared" si="41"/>
        <v>2.9664936872199691E-23</v>
      </c>
      <c r="P278" s="1">
        <f t="shared" si="42"/>
        <v>6.6464892773109652E-94</v>
      </c>
      <c r="R278" s="1">
        <f t="shared" si="43"/>
        <v>2.6551315804671387E-25</v>
      </c>
      <c r="U278" s="1">
        <f t="shared" si="44"/>
        <v>1.0406112877297279E+98</v>
      </c>
      <c r="Y278" s="1">
        <f t="shared" si="45"/>
        <v>0</v>
      </c>
      <c r="AB278" s="1">
        <f t="shared" si="46"/>
        <v>0</v>
      </c>
      <c r="AF278" s="1">
        <f t="shared" si="49"/>
        <v>0.58428845274258578</v>
      </c>
      <c r="AH278" s="1">
        <f t="shared" si="50"/>
        <v>58.428845274258578</v>
      </c>
      <c r="AJ278" s="1">
        <f t="shared" si="51"/>
        <v>174.76224907554905</v>
      </c>
      <c r="AL278" s="1">
        <f t="shared" si="52"/>
        <v>174.76224907554905</v>
      </c>
      <c r="AN278" s="1">
        <f t="shared" si="53"/>
        <v>0.17476224907554908</v>
      </c>
    </row>
    <row r="279" spans="2:40" x14ac:dyDescent="0.25">
      <c r="B279" s="1">
        <f t="shared" si="47"/>
        <v>1630</v>
      </c>
      <c r="D279" s="1">
        <f t="shared" si="48"/>
        <v>0.98876765913409004</v>
      </c>
      <c r="F279" s="1">
        <f t="shared" si="38"/>
        <v>-0.16300954577589177</v>
      </c>
      <c r="I279" s="1">
        <f t="shared" si="39"/>
        <v>1.1823202866589093</v>
      </c>
      <c r="L279" s="1">
        <f t="shared" si="40"/>
        <v>7.00169573087702</v>
      </c>
      <c r="N279" s="1">
        <f t="shared" si="41"/>
        <v>4.0846883200251194E-23</v>
      </c>
      <c r="P279" s="1">
        <f t="shared" si="42"/>
        <v>2.367456119460014E-93</v>
      </c>
      <c r="R279" s="1">
        <f t="shared" si="43"/>
        <v>3.6549769824569872E-25</v>
      </c>
      <c r="U279" s="1">
        <f t="shared" si="44"/>
        <v>1.0406112877297279E+98</v>
      </c>
      <c r="Y279" s="1">
        <f t="shared" si="45"/>
        <v>0</v>
      </c>
      <c r="AB279" s="1">
        <f t="shared" si="46"/>
        <v>0</v>
      </c>
      <c r="AF279" s="1">
        <f t="shared" si="49"/>
        <v>0.58452003109323802</v>
      </c>
      <c r="AH279" s="1">
        <f t="shared" si="50"/>
        <v>58.452003109323805</v>
      </c>
      <c r="AJ279" s="1">
        <f t="shared" si="51"/>
        <v>174.83151478362052</v>
      </c>
      <c r="AL279" s="1">
        <f t="shared" si="52"/>
        <v>174.83151478362052</v>
      </c>
      <c r="AN279" s="1">
        <f t="shared" si="53"/>
        <v>0.17483151478362052</v>
      </c>
    </row>
    <row r="280" spans="2:40" x14ac:dyDescent="0.25">
      <c r="B280" s="1">
        <f t="shared" si="47"/>
        <v>1640</v>
      </c>
      <c r="D280" s="1">
        <f t="shared" si="48"/>
        <v>0.98869913990953062</v>
      </c>
      <c r="F280" s="1">
        <f t="shared" si="38"/>
        <v>-0.16350881048485849</v>
      </c>
      <c r="I280" s="1">
        <f t="shared" si="39"/>
        <v>1.1828688293410003</v>
      </c>
      <c r="L280" s="1">
        <f t="shared" si="40"/>
        <v>6.9793194524207633</v>
      </c>
      <c r="N280" s="1">
        <f t="shared" si="41"/>
        <v>5.6025793301753521E-23</v>
      </c>
      <c r="P280" s="1">
        <f t="shared" si="42"/>
        <v>8.303295027660036E-93</v>
      </c>
      <c r="R280" s="1">
        <f t="shared" si="43"/>
        <v>5.01183615835643E-25</v>
      </c>
      <c r="U280" s="1">
        <f t="shared" si="44"/>
        <v>1.0406112877297279E+98</v>
      </c>
      <c r="Y280" s="1">
        <f t="shared" si="45"/>
        <v>0</v>
      </c>
      <c r="AB280" s="1">
        <f t="shared" si="46"/>
        <v>0</v>
      </c>
      <c r="AF280" s="1">
        <f t="shared" si="49"/>
        <v>0.58475069709762018</v>
      </c>
      <c r="AH280" s="1">
        <f t="shared" si="50"/>
        <v>58.475069709762018</v>
      </c>
      <c r="AJ280" s="1">
        <f t="shared" si="51"/>
        <v>174.90050760646662</v>
      </c>
      <c r="AL280" s="1">
        <f t="shared" si="52"/>
        <v>174.90050760646662</v>
      </c>
      <c r="AN280" s="1">
        <f t="shared" si="53"/>
        <v>0.17490050760646664</v>
      </c>
    </row>
    <row r="281" spans="2:40" x14ac:dyDescent="0.25">
      <c r="B281" s="1">
        <f t="shared" si="47"/>
        <v>1650</v>
      </c>
      <c r="D281" s="1">
        <f t="shared" si="48"/>
        <v>0.98863062543318891</v>
      </c>
      <c r="F281" s="1">
        <f t="shared" si="38"/>
        <v>-0.16400655535155961</v>
      </c>
      <c r="I281" s="1">
        <f t="shared" si="39"/>
        <v>1.1834156130271469</v>
      </c>
      <c r="L281" s="1">
        <f t="shared" si="40"/>
        <v>6.9571438783113972</v>
      </c>
      <c r="N281" s="1">
        <f t="shared" si="41"/>
        <v>7.6552841340560069E-23</v>
      </c>
      <c r="P281" s="1">
        <f t="shared" si="42"/>
        <v>2.8682701582307343E-92</v>
      </c>
      <c r="R281" s="1">
        <f t="shared" si="43"/>
        <v>6.8462588802213196E-25</v>
      </c>
      <c r="U281" s="1">
        <f t="shared" si="44"/>
        <v>1.0406112877297279E+98</v>
      </c>
      <c r="Y281" s="1">
        <f t="shared" si="45"/>
        <v>0</v>
      </c>
      <c r="AB281" s="1">
        <f t="shared" si="46"/>
        <v>0</v>
      </c>
      <c r="AF281" s="1">
        <f t="shared" si="49"/>
        <v>0.5849804588272145</v>
      </c>
      <c r="AH281" s="1">
        <f t="shared" si="50"/>
        <v>58.498045882721449</v>
      </c>
      <c r="AJ281" s="1">
        <f t="shared" si="51"/>
        <v>174.96922995828945</v>
      </c>
      <c r="AL281" s="1">
        <f t="shared" si="52"/>
        <v>174.96922995828945</v>
      </c>
      <c r="AN281" s="1">
        <f t="shared" si="53"/>
        <v>0.17496922995828945</v>
      </c>
    </row>
    <row r="282" spans="2:40" x14ac:dyDescent="0.25">
      <c r="B282" s="1">
        <f t="shared" si="47"/>
        <v>1660</v>
      </c>
      <c r="D282" s="1">
        <f t="shared" si="48"/>
        <v>0.98856211570473596</v>
      </c>
      <c r="F282" s="1">
        <f t="shared" si="38"/>
        <v>-0.16450279417199876</v>
      </c>
      <c r="I282" s="1">
        <f t="shared" si="39"/>
        <v>1.1839606534289726</v>
      </c>
      <c r="L282" s="1">
        <f t="shared" si="40"/>
        <v>6.9351659904456771</v>
      </c>
      <c r="N282" s="1">
        <f t="shared" si="41"/>
        <v>1.0420983278384661E-22</v>
      </c>
      <c r="P282" s="1">
        <f t="shared" si="42"/>
        <v>9.7613504175791256E-92</v>
      </c>
      <c r="R282" s="1">
        <f t="shared" si="43"/>
        <v>9.3171669716603371E-25</v>
      </c>
      <c r="U282" s="1">
        <f t="shared" si="44"/>
        <v>1.0406112877297279E+98</v>
      </c>
      <c r="Y282" s="1">
        <f t="shared" si="45"/>
        <v>0</v>
      </c>
      <c r="AB282" s="1">
        <f t="shared" si="46"/>
        <v>0</v>
      </c>
      <c r="AF282" s="1">
        <f t="shared" si="49"/>
        <v>0.58520932423245342</v>
      </c>
      <c r="AH282" s="1">
        <f t="shared" si="50"/>
        <v>58.520932423245341</v>
      </c>
      <c r="AJ282" s="1">
        <f t="shared" si="51"/>
        <v>175.03768421708475</v>
      </c>
      <c r="AL282" s="1">
        <f t="shared" si="52"/>
        <v>175.03768421708475</v>
      </c>
      <c r="AN282" s="1">
        <f t="shared" si="53"/>
        <v>0.17503768421708474</v>
      </c>
    </row>
    <row r="283" spans="2:40" x14ac:dyDescent="0.25">
      <c r="B283" s="1">
        <f t="shared" si="47"/>
        <v>1670</v>
      </c>
      <c r="D283" s="1">
        <f t="shared" si="48"/>
        <v>0.98849361072384256</v>
      </c>
      <c r="F283" s="1">
        <f t="shared" si="38"/>
        <v>-0.16499754053471768</v>
      </c>
      <c r="I283" s="1">
        <f t="shared" si="39"/>
        <v>1.1845039660227279</v>
      </c>
      <c r="L283" s="1">
        <f t="shared" si="40"/>
        <v>6.9133828339871748</v>
      </c>
      <c r="N283" s="1">
        <f t="shared" si="41"/>
        <v>1.4133812591669001E-22</v>
      </c>
      <c r="P283" s="1">
        <f t="shared" si="42"/>
        <v>3.2736811033801765E-91</v>
      </c>
      <c r="R283" s="1">
        <f t="shared" si="43"/>
        <v>1.2633326180461257E-24</v>
      </c>
      <c r="U283" s="1">
        <f t="shared" si="44"/>
        <v>1.0406112877297279E+98</v>
      </c>
      <c r="Y283" s="1">
        <f t="shared" si="45"/>
        <v>0</v>
      </c>
      <c r="AB283" s="1">
        <f t="shared" si="46"/>
        <v>0</v>
      </c>
      <c r="AF283" s="1">
        <f t="shared" si="49"/>
        <v>0.58543730114525905</v>
      </c>
      <c r="AH283" s="1">
        <f t="shared" si="50"/>
        <v>58.543730114525907</v>
      </c>
      <c r="AJ283" s="1">
        <f t="shared" si="51"/>
        <v>175.10587272540147</v>
      </c>
      <c r="AL283" s="1">
        <f t="shared" si="52"/>
        <v>175.10587272540147</v>
      </c>
      <c r="AN283" s="1">
        <f t="shared" si="53"/>
        <v>0.17510587272540148</v>
      </c>
    </row>
    <row r="284" spans="2:40" x14ac:dyDescent="0.25">
      <c r="B284" s="1">
        <f t="shared" si="47"/>
        <v>1680</v>
      </c>
      <c r="D284" s="1">
        <f t="shared" si="48"/>
        <v>0.98842511049017989</v>
      </c>
      <c r="F284" s="1">
        <f t="shared" si="38"/>
        <v>-0.16549080782513756</v>
      </c>
      <c r="I284" s="1">
        <f t="shared" si="39"/>
        <v>1.185045566054209</v>
      </c>
      <c r="L284" s="1">
        <f t="shared" si="40"/>
        <v>6.8917915156703131</v>
      </c>
      <c r="N284" s="1">
        <f t="shared" si="41"/>
        <v>1.910036514548687E-22</v>
      </c>
      <c r="P284" s="1">
        <f t="shared" si="42"/>
        <v>1.0822137403770194E-90</v>
      </c>
      <c r="R284" s="1">
        <f t="shared" si="43"/>
        <v>1.7068025251610163E-24</v>
      </c>
      <c r="U284" s="1">
        <f t="shared" si="44"/>
        <v>1.0406112877297279E+98</v>
      </c>
      <c r="Y284" s="1">
        <f t="shared" si="45"/>
        <v>0</v>
      </c>
      <c r="AB284" s="1">
        <f t="shared" si="46"/>
        <v>0</v>
      </c>
      <c r="AF284" s="1">
        <f t="shared" si="49"/>
        <v>0.58566439728151465</v>
      </c>
      <c r="AH284" s="1">
        <f t="shared" si="50"/>
        <v>58.566439728151465</v>
      </c>
      <c r="AJ284" s="1">
        <f t="shared" si="51"/>
        <v>175.17379779108111</v>
      </c>
      <c r="AL284" s="1">
        <f t="shared" si="52"/>
        <v>175.17379779108111</v>
      </c>
      <c r="AN284" s="1">
        <f t="shared" si="53"/>
        <v>0.17517379779108114</v>
      </c>
    </row>
    <row r="285" spans="2:40" x14ac:dyDescent="0.25">
      <c r="B285" s="1">
        <f t="shared" si="47"/>
        <v>1690</v>
      </c>
      <c r="D285" s="1">
        <f t="shared" si="48"/>
        <v>0.98835661500341898</v>
      </c>
      <c r="F285" s="1">
        <f t="shared" si="38"/>
        <v>-0.16598260922978475</v>
      </c>
      <c r="I285" s="1">
        <f t="shared" si="39"/>
        <v>1.1855854685435436</v>
      </c>
      <c r="L285" s="1">
        <f t="shared" si="40"/>
        <v>6.8703892021596547</v>
      </c>
      <c r="N285" s="1">
        <f t="shared" si="41"/>
        <v>2.5720743402659074E-22</v>
      </c>
      <c r="P285" s="1">
        <f t="shared" si="42"/>
        <v>3.5273683789501582E-90</v>
      </c>
      <c r="R285" s="1">
        <f t="shared" si="43"/>
        <v>2.2977796254512223E-24</v>
      </c>
      <c r="U285" s="1">
        <f t="shared" si="44"/>
        <v>1.0406112877297279E+98</v>
      </c>
      <c r="Y285" s="1">
        <f t="shared" si="45"/>
        <v>0</v>
      </c>
      <c r="AB285" s="1">
        <f t="shared" si="46"/>
        <v>0</v>
      </c>
      <c r="AF285" s="1">
        <f t="shared" si="49"/>
        <v>0.58589062024346961</v>
      </c>
      <c r="AH285" s="1">
        <f t="shared" si="50"/>
        <v>58.589062024346958</v>
      </c>
      <c r="AJ285" s="1">
        <f t="shared" si="51"/>
        <v>175.24146168797691</v>
      </c>
      <c r="AL285" s="1">
        <f t="shared" si="52"/>
        <v>175.24146168797691</v>
      </c>
      <c r="AN285" s="1">
        <f t="shared" si="53"/>
        <v>0.17524146168797694</v>
      </c>
    </row>
    <row r="286" spans="2:40" x14ac:dyDescent="0.25">
      <c r="B286" s="1">
        <f t="shared" si="47"/>
        <v>1700</v>
      </c>
      <c r="D286" s="1">
        <f t="shared" si="48"/>
        <v>0.98828812426323076</v>
      </c>
      <c r="F286" s="1">
        <f t="shared" si="38"/>
        <v>-0.16647295774040372</v>
      </c>
      <c r="I286" s="1">
        <f t="shared" si="39"/>
        <v>1.1861236882898507</v>
      </c>
      <c r="L286" s="1">
        <f t="shared" si="40"/>
        <v>6.8491731184623248</v>
      </c>
      <c r="N286" s="1">
        <f t="shared" si="41"/>
        <v>3.4515328374419757E-22</v>
      </c>
      <c r="P286" s="1">
        <f t="shared" si="42"/>
        <v>1.1338562053263702E-89</v>
      </c>
      <c r="R286" s="1">
        <f t="shared" si="43"/>
        <v>3.0826210665489652E-24</v>
      </c>
      <c r="U286" s="1">
        <f t="shared" si="44"/>
        <v>1.0406112877297279E+98</v>
      </c>
      <c r="Y286" s="1">
        <f t="shared" si="45"/>
        <v>0</v>
      </c>
      <c r="AB286" s="1">
        <f t="shared" si="46"/>
        <v>0</v>
      </c>
      <c r="AF286" s="1">
        <f t="shared" si="49"/>
        <v>0.58611597752208078</v>
      </c>
      <c r="AH286" s="1">
        <f t="shared" si="50"/>
        <v>58.611597752208077</v>
      </c>
      <c r="AJ286" s="1">
        <f t="shared" si="51"/>
        <v>175.30886665665423</v>
      </c>
      <c r="AL286" s="1">
        <f t="shared" si="52"/>
        <v>175.30886665665423</v>
      </c>
      <c r="AN286" s="1">
        <f t="shared" si="53"/>
        <v>0.17530886665665424</v>
      </c>
    </row>
    <row r="287" spans="2:40" x14ac:dyDescent="0.25">
      <c r="B287" s="1">
        <f t="shared" si="47"/>
        <v>1710</v>
      </c>
      <c r="D287" s="1">
        <f t="shared" si="48"/>
        <v>0.98821963826928649</v>
      </c>
      <c r="F287" s="1">
        <f t="shared" si="38"/>
        <v>-0.16696186615796152</v>
      </c>
      <c r="I287" s="1">
        <f t="shared" si="39"/>
        <v>1.1866602398757768</v>
      </c>
      <c r="L287" s="1">
        <f t="shared" si="40"/>
        <v>6.8281405463915554</v>
      </c>
      <c r="N287" s="1">
        <f t="shared" si="41"/>
        <v>4.6158709045110257E-22</v>
      </c>
      <c r="P287" s="1">
        <f t="shared" si="42"/>
        <v>3.5953426879434543E-89</v>
      </c>
      <c r="R287" s="1">
        <f t="shared" si="43"/>
        <v>4.1214030304866148E-24</v>
      </c>
      <c r="U287" s="1">
        <f t="shared" si="44"/>
        <v>1.0406112877297279E+98</v>
      </c>
      <c r="Y287" s="1">
        <f t="shared" si="45"/>
        <v>0</v>
      </c>
      <c r="AB287" s="1">
        <f t="shared" si="46"/>
        <v>0</v>
      </c>
      <c r="AF287" s="1">
        <f t="shared" si="49"/>
        <v>0.58634047649929244</v>
      </c>
      <c r="AH287" s="1">
        <f t="shared" si="50"/>
        <v>58.634047649929244</v>
      </c>
      <c r="AJ287" s="1">
        <f t="shared" si="51"/>
        <v>175.37601490507248</v>
      </c>
      <c r="AL287" s="1">
        <f t="shared" si="52"/>
        <v>175.37601490507248</v>
      </c>
      <c r="AN287" s="1">
        <f t="shared" si="53"/>
        <v>0.17537601490507249</v>
      </c>
    </row>
    <row r="288" spans="2:40" x14ac:dyDescent="0.25">
      <c r="B288" s="1">
        <f t="shared" si="47"/>
        <v>1720</v>
      </c>
      <c r="D288" s="1">
        <f t="shared" si="48"/>
        <v>0.988151157021257</v>
      </c>
      <c r="F288" s="1">
        <f t="shared" si="38"/>
        <v>-0.16744934709654699</v>
      </c>
      <c r="I288" s="1">
        <f t="shared" si="39"/>
        <v>1.1871951376719134</v>
      </c>
      <c r="L288" s="1">
        <f t="shared" si="40"/>
        <v>6.8072888230793929</v>
      </c>
      <c r="N288" s="1">
        <f t="shared" si="41"/>
        <v>6.1522551760146505E-22</v>
      </c>
      <c r="P288" s="1">
        <f t="shared" si="42"/>
        <v>1.1248666590782013E-88</v>
      </c>
      <c r="R288" s="1">
        <f t="shared" si="43"/>
        <v>5.4917289793138481E-24</v>
      </c>
      <c r="U288" s="1">
        <f t="shared" si="44"/>
        <v>1.0406112877297279E+98</v>
      </c>
      <c r="Y288" s="1">
        <f t="shared" si="45"/>
        <v>0</v>
      </c>
      <c r="AB288" s="1">
        <f t="shared" si="46"/>
        <v>0</v>
      </c>
      <c r="AF288" s="1">
        <f t="shared" si="49"/>
        <v>0.58656412445025585</v>
      </c>
      <c r="AH288" s="1">
        <f t="shared" si="50"/>
        <v>58.656412445025587</v>
      </c>
      <c r="AJ288" s="1">
        <f t="shared" si="51"/>
        <v>175.44290860924897</v>
      </c>
      <c r="AL288" s="1">
        <f t="shared" si="52"/>
        <v>175.44290860924897</v>
      </c>
      <c r="AN288" s="1">
        <f t="shared" si="53"/>
        <v>0.17544290860924899</v>
      </c>
    </row>
    <row r="289" spans="2:40" x14ac:dyDescent="0.25">
      <c r="B289" s="1">
        <f t="shared" si="47"/>
        <v>1730</v>
      </c>
      <c r="D289" s="1">
        <f t="shared" si="48"/>
        <v>0.98808268051881365</v>
      </c>
      <c r="F289" s="1">
        <f t="shared" si="38"/>
        <v>-0.16793541298716802</v>
      </c>
      <c r="I289" s="1">
        <f t="shared" si="39"/>
        <v>1.1877283958410989</v>
      </c>
      <c r="L289" s="1">
        <f t="shared" si="40"/>
        <v>6.7866153395367608</v>
      </c>
      <c r="N289" s="1">
        <f t="shared" si="41"/>
        <v>8.1729597511182236E-22</v>
      </c>
      <c r="P289" s="1">
        <f t="shared" si="42"/>
        <v>3.4732908352839374E-88</v>
      </c>
      <c r="R289" s="1">
        <f t="shared" si="43"/>
        <v>7.2935248110951376E-24</v>
      </c>
      <c r="U289" s="1">
        <f t="shared" si="44"/>
        <v>1.0406112877297279E+98</v>
      </c>
      <c r="Y289" s="1">
        <f t="shared" si="45"/>
        <v>0</v>
      </c>
      <c r="AB289" s="1">
        <f t="shared" si="46"/>
        <v>0</v>
      </c>
      <c r="AF289" s="1">
        <f t="shared" si="49"/>
        <v>0.58678692854549175</v>
      </c>
      <c r="AH289" s="1">
        <f t="shared" si="50"/>
        <v>58.678692854549176</v>
      </c>
      <c r="AJ289" s="1">
        <f t="shared" si="51"/>
        <v>175.50954991390577</v>
      </c>
      <c r="AL289" s="1">
        <f t="shared" si="52"/>
        <v>175.50954991390577</v>
      </c>
      <c r="AN289" s="1">
        <f t="shared" si="53"/>
        <v>0.1755095499139058</v>
      </c>
    </row>
    <row r="290" spans="2:40" x14ac:dyDescent="0.25">
      <c r="B290" s="1">
        <f t="shared" si="47"/>
        <v>1740</v>
      </c>
      <c r="D290" s="1">
        <f t="shared" si="48"/>
        <v>0.98801420876162749</v>
      </c>
      <c r="F290" s="1">
        <f t="shared" si="38"/>
        <v>-0.16842007608145027</v>
      </c>
      <c r="I290" s="1">
        <f t="shared" si="39"/>
        <v>1.1882600283426084</v>
      </c>
      <c r="L290" s="1">
        <f t="shared" si="40"/>
        <v>6.7661175392590511</v>
      </c>
      <c r="N290" s="1">
        <f t="shared" si="41"/>
        <v>1.0822146896269332E-21</v>
      </c>
      <c r="P290" s="1">
        <f t="shared" si="42"/>
        <v>1.0586665685424704E-87</v>
      </c>
      <c r="R290" s="1">
        <f t="shared" si="43"/>
        <v>9.6550583327640402E-24</v>
      </c>
      <c r="U290" s="1">
        <f t="shared" si="44"/>
        <v>1.0406112877297279E+98</v>
      </c>
      <c r="Y290" s="1">
        <f t="shared" si="45"/>
        <v>0</v>
      </c>
      <c r="AB290" s="1">
        <f t="shared" si="46"/>
        <v>0</v>
      </c>
      <c r="AF290" s="1">
        <f t="shared" si="49"/>
        <v>0.58700889585299565</v>
      </c>
      <c r="AH290" s="1">
        <f t="shared" si="50"/>
        <v>58.700889585299564</v>
      </c>
      <c r="AJ290" s="1">
        <f t="shared" si="51"/>
        <v>175.57594093309936</v>
      </c>
      <c r="AL290" s="1">
        <f t="shared" si="52"/>
        <v>175.57594093309936</v>
      </c>
      <c r="AN290" s="1">
        <f t="shared" si="53"/>
        <v>0.17557594093309936</v>
      </c>
    </row>
    <row r="291" spans="2:40" x14ac:dyDescent="0.25">
      <c r="B291" s="1">
        <f t="shared" si="47"/>
        <v>1750</v>
      </c>
      <c r="D291" s="1">
        <f t="shared" si="48"/>
        <v>0.98794574174936978</v>
      </c>
      <c r="F291" s="1">
        <f t="shared" si="38"/>
        <v>-0.16890334845524024</v>
      </c>
      <c r="I291" s="1">
        <f t="shared" si="39"/>
        <v>1.1887900489362366</v>
      </c>
      <c r="L291" s="1">
        <f t="shared" si="40"/>
        <v>6.745792916875617</v>
      </c>
      <c r="N291" s="1">
        <f t="shared" si="41"/>
        <v>1.4284356490548271E-21</v>
      </c>
      <c r="P291" s="1">
        <f t="shared" si="42"/>
        <v>3.1860422207267793E-87</v>
      </c>
      <c r="R291" s="1">
        <f t="shared" si="43"/>
        <v>1.2740473090165809E-23</v>
      </c>
      <c r="U291" s="1">
        <f t="shared" si="44"/>
        <v>1.0406112877297279E+98</v>
      </c>
      <c r="Y291" s="1">
        <f t="shared" si="45"/>
        <v>0</v>
      </c>
      <c r="AB291" s="1">
        <f t="shared" si="46"/>
        <v>0</v>
      </c>
      <c r="AF291" s="1">
        <f t="shared" si="49"/>
        <v>0.58723003334028989</v>
      </c>
      <c r="AH291" s="1">
        <f t="shared" si="50"/>
        <v>58.723003334028988</v>
      </c>
      <c r="AJ291" s="1">
        <f t="shared" si="51"/>
        <v>175.64208375083442</v>
      </c>
      <c r="AL291" s="1">
        <f t="shared" si="52"/>
        <v>175.64208375083442</v>
      </c>
      <c r="AN291" s="1">
        <f t="shared" si="53"/>
        <v>0.17564208375083445</v>
      </c>
    </row>
    <row r="292" spans="2:40" x14ac:dyDescent="0.25">
      <c r="B292" s="1">
        <f t="shared" si="47"/>
        <v>1760</v>
      </c>
      <c r="D292" s="1">
        <f t="shared" si="48"/>
        <v>0.98787727948171145</v>
      </c>
      <c r="F292" s="1">
        <f t="shared" si="38"/>
        <v>-0.16938524201211605</v>
      </c>
      <c r="I292" s="1">
        <f t="shared" si="39"/>
        <v>1.1893184711862752</v>
      </c>
      <c r="L292" s="1">
        <f t="shared" si="40"/>
        <v>6.7256390168414724</v>
      </c>
      <c r="N292" s="1">
        <f t="shared" si="41"/>
        <v>1.8795103659993653E-21</v>
      </c>
      <c r="P292" s="1">
        <f t="shared" si="42"/>
        <v>9.4691780354014539E-87</v>
      </c>
      <c r="R292" s="1">
        <f t="shared" si="43"/>
        <v>1.6759189885788053E-23</v>
      </c>
      <c r="U292" s="1">
        <f t="shared" si="44"/>
        <v>1.0406112877297279E+98</v>
      </c>
      <c r="Y292" s="1">
        <f t="shared" si="45"/>
        <v>0</v>
      </c>
      <c r="AB292" s="1">
        <f t="shared" si="46"/>
        <v>0</v>
      </c>
      <c r="AF292" s="1">
        <f t="shared" si="49"/>
        <v>0.58745034787642292</v>
      </c>
      <c r="AH292" s="1">
        <f t="shared" si="50"/>
        <v>58.74503478764229</v>
      </c>
      <c r="AJ292" s="1">
        <f t="shared" si="51"/>
        <v>175.70798042166186</v>
      </c>
      <c r="AL292" s="1">
        <f t="shared" si="52"/>
        <v>175.70798042166186</v>
      </c>
      <c r="AN292" s="1">
        <f t="shared" si="53"/>
        <v>0.17570798042166186</v>
      </c>
    </row>
    <row r="293" spans="2:40" x14ac:dyDescent="0.25">
      <c r="B293" s="1">
        <f t="shared" si="47"/>
        <v>1770</v>
      </c>
      <c r="D293" s="1">
        <f t="shared" si="48"/>
        <v>0.98780882195832398</v>
      </c>
      <c r="F293" s="1">
        <f t="shared" si="38"/>
        <v>-0.16986576848680826</v>
      </c>
      <c r="I293" s="1">
        <f t="shared" si="39"/>
        <v>1.1898453084653884</v>
      </c>
      <c r="L293" s="1">
        <f t="shared" si="40"/>
        <v>6.7056534321697168</v>
      </c>
      <c r="N293" s="1">
        <f t="shared" si="41"/>
        <v>2.465407003382906E-21</v>
      </c>
      <c r="P293" s="1">
        <f t="shared" si="42"/>
        <v>2.7799276019757471E-86</v>
      </c>
      <c r="R293" s="1">
        <f t="shared" si="43"/>
        <v>2.1977605207362514E-23</v>
      </c>
      <c r="U293" s="1">
        <f t="shared" si="44"/>
        <v>1.0406112877297279E+98</v>
      </c>
      <c r="Y293" s="1">
        <f t="shared" si="45"/>
        <v>0</v>
      </c>
      <c r="AB293" s="1">
        <f t="shared" si="46"/>
        <v>0</v>
      </c>
      <c r="AF293" s="1">
        <f t="shared" si="49"/>
        <v>0.58766984623391694</v>
      </c>
      <c r="AH293" s="1">
        <f t="shared" si="50"/>
        <v>58.766984623391693</v>
      </c>
      <c r="AJ293" s="1">
        <f t="shared" si="51"/>
        <v>175.77363297126126</v>
      </c>
      <c r="AL293" s="1">
        <f t="shared" si="52"/>
        <v>175.77363297126126</v>
      </c>
      <c r="AN293" s="1">
        <f t="shared" si="53"/>
        <v>0.17577363297126128</v>
      </c>
    </row>
    <row r="294" spans="2:40" x14ac:dyDescent="0.25">
      <c r="B294" s="1">
        <f t="shared" si="47"/>
        <v>1780</v>
      </c>
      <c r="D294" s="1">
        <f t="shared" si="48"/>
        <v>0.98774036917887842</v>
      </c>
      <c r="F294" s="1">
        <f t="shared" si="38"/>
        <v>-0.17034493944853413</v>
      </c>
      <c r="I294" s="1">
        <f t="shared" si="39"/>
        <v>1.1903705739583912</v>
      </c>
      <c r="L294" s="1">
        <f t="shared" si="40"/>
        <v>6.6858338032031401</v>
      </c>
      <c r="N294" s="1">
        <f t="shared" si="41"/>
        <v>3.2241476926517522E-21</v>
      </c>
      <c r="P294" s="1">
        <f t="shared" si="42"/>
        <v>8.0631565315649553E-86</v>
      </c>
      <c r="R294" s="1">
        <f t="shared" si="43"/>
        <v>2.8733606547104455E-23</v>
      </c>
      <c r="U294" s="1">
        <f t="shared" si="44"/>
        <v>1.0406112877297279E+98</v>
      </c>
      <c r="Y294" s="1">
        <f t="shared" si="45"/>
        <v>0</v>
      </c>
      <c r="AB294" s="1">
        <f t="shared" si="46"/>
        <v>0</v>
      </c>
      <c r="AF294" s="1">
        <f t="shared" si="49"/>
        <v>0.58788853509066741</v>
      </c>
      <c r="AH294" s="1">
        <f t="shared" si="50"/>
        <v>58.78885350906674</v>
      </c>
      <c r="AJ294" s="1">
        <f t="shared" si="51"/>
        <v>175.83904339700916</v>
      </c>
      <c r="AL294" s="1">
        <f t="shared" si="52"/>
        <v>175.83904339700916</v>
      </c>
      <c r="AN294" s="1">
        <f t="shared" si="53"/>
        <v>0.17583904339700918</v>
      </c>
    </row>
    <row r="295" spans="2:40" x14ac:dyDescent="0.25">
      <c r="B295" s="1">
        <f t="shared" si="47"/>
        <v>1790</v>
      </c>
      <c r="D295" s="1">
        <f t="shared" si="48"/>
        <v>0.98767192114304614</v>
      </c>
      <c r="F295" s="1">
        <f t="shared" si="38"/>
        <v>-0.1708227663042475</v>
      </c>
      <c r="I295" s="1">
        <f t="shared" si="39"/>
        <v>1.1908942806659306</v>
      </c>
      <c r="L295" s="1">
        <f t="shared" si="40"/>
        <v>6.666177816423617</v>
      </c>
      <c r="N295" s="1">
        <f t="shared" si="41"/>
        <v>4.2038351490949332E-21</v>
      </c>
      <c r="P295" s="1">
        <f t="shared" si="42"/>
        <v>2.3110803311444616E-85</v>
      </c>
      <c r="R295" s="1">
        <f t="shared" si="43"/>
        <v>3.7454532832284962E-23</v>
      </c>
      <c r="U295" s="1">
        <f t="shared" si="44"/>
        <v>1.0406112877297279E+98</v>
      </c>
      <c r="Y295" s="1">
        <f t="shared" si="45"/>
        <v>0</v>
      </c>
      <c r="AB295" s="1">
        <f t="shared" si="46"/>
        <v>0</v>
      </c>
      <c r="AF295" s="1">
        <f t="shared" si="49"/>
        <v>0.58810642103179289</v>
      </c>
      <c r="AH295" s="1">
        <f t="shared" si="50"/>
        <v>58.810642103179291</v>
      </c>
      <c r="AJ295" s="1">
        <f t="shared" si="51"/>
        <v>175.90421366853224</v>
      </c>
      <c r="AL295" s="1">
        <f t="shared" si="52"/>
        <v>175.90421366853224</v>
      </c>
      <c r="AN295" s="1">
        <f t="shared" si="53"/>
        <v>0.17590421366853226</v>
      </c>
    </row>
    <row r="296" spans="2:40" x14ac:dyDescent="0.25">
      <c r="B296" s="1">
        <f t="shared" si="47"/>
        <v>1800</v>
      </c>
      <c r="D296" s="1">
        <f t="shared" si="48"/>
        <v>0.98760347785049851</v>
      </c>
      <c r="F296" s="1">
        <f t="shared" si="38"/>
        <v>-0.17129926030180742</v>
      </c>
      <c r="I296" s="1">
        <f t="shared" si="39"/>
        <v>1.1914164414080781</v>
      </c>
      <c r="L296" s="1">
        <f t="shared" si="40"/>
        <v>6.6466832032979086</v>
      </c>
      <c r="N296" s="1">
        <f t="shared" si="41"/>
        <v>5.4651542953075335E-21</v>
      </c>
      <c r="P296" s="1">
        <f t="shared" si="42"/>
        <v>6.5471053164168211E-85</v>
      </c>
      <c r="R296" s="1">
        <f t="shared" si="43"/>
        <v>4.8679336942151943E-23</v>
      </c>
      <c r="U296" s="1">
        <f t="shared" si="44"/>
        <v>1.0406112877297279E+98</v>
      </c>
      <c r="Y296" s="1">
        <f t="shared" si="45"/>
        <v>0</v>
      </c>
      <c r="AB296" s="1">
        <f t="shared" si="46"/>
        <v>0</v>
      </c>
      <c r="AF296" s="1">
        <f t="shared" si="49"/>
        <v>0.58832351055144128</v>
      </c>
      <c r="AH296" s="1">
        <f t="shared" si="50"/>
        <v>58.83235105514413</v>
      </c>
      <c r="AJ296" s="1">
        <f t="shared" si="51"/>
        <v>175.96914572824761</v>
      </c>
      <c r="AL296" s="1">
        <f t="shared" si="52"/>
        <v>175.96914572824761</v>
      </c>
      <c r="AN296" s="1">
        <f t="shared" si="53"/>
        <v>0.17596914572824762</v>
      </c>
    </row>
    <row r="297" spans="2:40" x14ac:dyDescent="0.25">
      <c r="B297" s="1">
        <f t="shared" si="47"/>
        <v>1810</v>
      </c>
      <c r="D297" s="1">
        <f t="shared" si="48"/>
        <v>0.98753503930090658</v>
      </c>
      <c r="F297" s="1">
        <f t="shared" si="38"/>
        <v>-0.17177443253306701</v>
      </c>
      <c r="I297" s="1">
        <f t="shared" si="39"/>
        <v>1.191937068827827</v>
      </c>
      <c r="L297" s="1">
        <f t="shared" si="40"/>
        <v>6.6273477391585764</v>
      </c>
      <c r="N297" s="1">
        <f t="shared" si="41"/>
        <v>7.0844519410109123E-21</v>
      </c>
      <c r="P297" s="1">
        <f t="shared" si="42"/>
        <v>1.8335469605542939E-84</v>
      </c>
      <c r="R297" s="1">
        <f t="shared" si="43"/>
        <v>6.308586004566636E-23</v>
      </c>
      <c r="U297" s="1">
        <f t="shared" si="44"/>
        <v>1.0406112877297279E+98</v>
      </c>
      <c r="Y297" s="1">
        <f t="shared" si="45"/>
        <v>0</v>
      </c>
      <c r="AB297" s="1">
        <f t="shared" si="46"/>
        <v>0</v>
      </c>
      <c r="AF297" s="1">
        <f t="shared" si="49"/>
        <v>0.58853981005454781</v>
      </c>
      <c r="AH297" s="1">
        <f t="shared" si="50"/>
        <v>58.853981005454784</v>
      </c>
      <c r="AJ297" s="1">
        <f t="shared" si="51"/>
        <v>176.03384149188864</v>
      </c>
      <c r="AL297" s="1">
        <f t="shared" si="52"/>
        <v>176.03384149188864</v>
      </c>
      <c r="AN297" s="1">
        <f t="shared" si="53"/>
        <v>0.17603384149188867</v>
      </c>
    </row>
    <row r="298" spans="2:40" x14ac:dyDescent="0.25">
      <c r="B298" s="1">
        <f t="shared" si="47"/>
        <v>1820</v>
      </c>
      <c r="D298" s="1">
        <f t="shared" si="48"/>
        <v>0.98746660549394183</v>
      </c>
      <c r="F298" s="1">
        <f t="shared" si="38"/>
        <v>-0.17224829393688634</v>
      </c>
      <c r="I298" s="1">
        <f t="shared" si="39"/>
        <v>1.1924561753945087</v>
      </c>
      <c r="L298" s="1">
        <f t="shared" si="40"/>
        <v>6.6081692421187261</v>
      </c>
      <c r="N298" s="1">
        <f t="shared" si="41"/>
        <v>9.1575180936178272E-21</v>
      </c>
      <c r="P298" s="1">
        <f t="shared" si="42"/>
        <v>5.077213371274492E-84</v>
      </c>
      <c r="R298" s="1">
        <f t="shared" si="43"/>
        <v>8.1524308274859617E-23</v>
      </c>
      <c r="U298" s="1">
        <f t="shared" si="44"/>
        <v>1.0406112877297279E+98</v>
      </c>
      <c r="Y298" s="1">
        <f t="shared" si="45"/>
        <v>0</v>
      </c>
      <c r="AB298" s="1">
        <f t="shared" si="46"/>
        <v>0</v>
      </c>
      <c r="AF298" s="1">
        <f t="shared" si="49"/>
        <v>0.58875532585855195</v>
      </c>
      <c r="AH298" s="1">
        <f t="shared" si="50"/>
        <v>58.875532585855197</v>
      </c>
      <c r="AJ298" s="1">
        <f t="shared" si="51"/>
        <v>176.09830284901849</v>
      </c>
      <c r="AL298" s="1">
        <f t="shared" si="52"/>
        <v>176.09830284901849</v>
      </c>
      <c r="AN298" s="1">
        <f t="shared" si="53"/>
        <v>0.17609830284901851</v>
      </c>
    </row>
    <row r="299" spans="2:40" x14ac:dyDescent="0.25">
      <c r="B299" s="1">
        <f t="shared" si="47"/>
        <v>1830</v>
      </c>
      <c r="D299" s="1">
        <f t="shared" si="48"/>
        <v>0.98739817642927552</v>
      </c>
      <c r="F299" s="1">
        <f t="shared" si="38"/>
        <v>-0.17272085530207065</v>
      </c>
      <c r="I299" s="1">
        <f t="shared" si="39"/>
        <v>1.1929737734071209</v>
      </c>
      <c r="L299" s="1">
        <f t="shared" si="40"/>
        <v>6.5891455720194312</v>
      </c>
      <c r="N299" s="1">
        <f t="shared" si="41"/>
        <v>1.1804216715102821E-20</v>
      </c>
      <c r="P299" s="1">
        <f t="shared" si="42"/>
        <v>1.3903684514595563E-83</v>
      </c>
      <c r="R299" s="1">
        <f t="shared" si="43"/>
        <v>1.050582356561231E-22</v>
      </c>
      <c r="U299" s="1">
        <f t="shared" si="44"/>
        <v>1.0406112877297279E+98</v>
      </c>
      <c r="Y299" s="1">
        <f t="shared" si="45"/>
        <v>0</v>
      </c>
      <c r="AB299" s="1">
        <f t="shared" si="46"/>
        <v>0</v>
      </c>
      <c r="AF299" s="1">
        <f t="shared" si="49"/>
        <v>0.58897006419507147</v>
      </c>
      <c r="AH299" s="1">
        <f t="shared" si="50"/>
        <v>58.89700641950715</v>
      </c>
      <c r="AJ299" s="1">
        <f t="shared" si="51"/>
        <v>176.16253166353081</v>
      </c>
      <c r="AL299" s="1">
        <f t="shared" si="52"/>
        <v>176.16253166353081</v>
      </c>
      <c r="AN299" s="1">
        <f t="shared" si="53"/>
        <v>0.17616253166353082</v>
      </c>
    </row>
    <row r="300" spans="2:40" x14ac:dyDescent="0.25">
      <c r="B300" s="1">
        <f t="shared" si="47"/>
        <v>1840</v>
      </c>
      <c r="D300" s="1">
        <f t="shared" si="48"/>
        <v>0.98732975210657914</v>
      </c>
      <c r="F300" s="1">
        <f t="shared" si="38"/>
        <v>-0.17319212727023603</v>
      </c>
      <c r="I300" s="1">
        <f t="shared" si="39"/>
        <v>1.1934898749975753</v>
      </c>
      <c r="L300" s="1">
        <f t="shared" si="40"/>
        <v>6.5702746294085976</v>
      </c>
      <c r="N300" s="1">
        <f t="shared" si="41"/>
        <v>1.5174142299218264E-20</v>
      </c>
      <c r="P300" s="1">
        <f t="shared" si="42"/>
        <v>3.7660337078594146E-83</v>
      </c>
      <c r="R300" s="1">
        <f t="shared" si="43"/>
        <v>1.3501458852780487E-22</v>
      </c>
      <c r="U300" s="1">
        <f t="shared" si="44"/>
        <v>1.0406112877297279E+98</v>
      </c>
      <c r="Y300" s="1">
        <f t="shared" si="45"/>
        <v>0</v>
      </c>
      <c r="AB300" s="1">
        <f t="shared" si="46"/>
        <v>0</v>
      </c>
      <c r="AF300" s="1">
        <f t="shared" si="49"/>
        <v>0.58918403121153406</v>
      </c>
      <c r="AH300" s="1">
        <f t="shared" si="50"/>
        <v>58.918403121153403</v>
      </c>
      <c r="AJ300" s="1">
        <f t="shared" si="51"/>
        <v>176.22652977413776</v>
      </c>
      <c r="AL300" s="1">
        <f t="shared" si="52"/>
        <v>176.22652977413776</v>
      </c>
      <c r="AN300" s="1">
        <f t="shared" si="53"/>
        <v>0.17622652977413777</v>
      </c>
    </row>
    <row r="301" spans="2:40" x14ac:dyDescent="0.25">
      <c r="B301" s="1">
        <f t="shared" si="47"/>
        <v>1850</v>
      </c>
      <c r="D301" s="1">
        <f t="shared" si="48"/>
        <v>0.98726133252552406</v>
      </c>
      <c r="F301" s="1">
        <f t="shared" si="38"/>
        <v>-0.1736621203386059</v>
      </c>
      <c r="I301" s="1">
        <f t="shared" si="39"/>
        <v>1.1940044921338668</v>
      </c>
      <c r="L301" s="1">
        <f t="shared" si="40"/>
        <v>6.551554354550265</v>
      </c>
      <c r="N301" s="1">
        <f t="shared" si="41"/>
        <v>1.9453512206763043E-20</v>
      </c>
      <c r="P301" s="1">
        <f t="shared" si="42"/>
        <v>1.0091722614542428E-82</v>
      </c>
      <c r="R301" s="1">
        <f t="shared" si="43"/>
        <v>1.7304466189473822E-22</v>
      </c>
      <c r="U301" s="1">
        <f t="shared" si="44"/>
        <v>1.0406112877297279E+98</v>
      </c>
      <c r="Y301" s="1">
        <f t="shared" si="45"/>
        <v>0</v>
      </c>
      <c r="AB301" s="1">
        <f t="shared" si="46"/>
        <v>0</v>
      </c>
      <c r="AF301" s="1">
        <f t="shared" si="49"/>
        <v>0.58939723297277147</v>
      </c>
      <c r="AH301" s="1">
        <f t="shared" si="50"/>
        <v>58.939723297277148</v>
      </c>
      <c r="AJ301" s="1">
        <f t="shared" si="51"/>
        <v>176.29029899484686</v>
      </c>
      <c r="AL301" s="1">
        <f t="shared" si="52"/>
        <v>176.29029899484686</v>
      </c>
      <c r="AN301" s="1">
        <f t="shared" si="53"/>
        <v>0.17629029899484688</v>
      </c>
    </row>
    <row r="302" spans="2:40" x14ac:dyDescent="0.25">
      <c r="B302" s="1">
        <f t="shared" si="47"/>
        <v>1860</v>
      </c>
      <c r="D302" s="1">
        <f t="shared" si="48"/>
        <v>0.98719291768578155</v>
      </c>
      <c r="F302" s="1">
        <f t="shared" si="38"/>
        <v>-0.17413084486273891</v>
      </c>
      <c r="I302" s="1">
        <f t="shared" si="39"/>
        <v>1.1945176366231645</v>
      </c>
      <c r="L302" s="1">
        <f t="shared" si="40"/>
        <v>6.5329827264631888</v>
      </c>
      <c r="N302" s="1">
        <f t="shared" si="41"/>
        <v>2.4873544049495774E-20</v>
      </c>
      <c r="P302" s="1">
        <f t="shared" si="42"/>
        <v>2.6757685845676886E-82</v>
      </c>
      <c r="R302" s="1">
        <f t="shared" si="43"/>
        <v>2.2119816416265489E-22</v>
      </c>
      <c r="U302" s="1">
        <f t="shared" si="44"/>
        <v>1.0406112877297279E+98</v>
      </c>
      <c r="Y302" s="1">
        <f t="shared" si="45"/>
        <v>0</v>
      </c>
      <c r="AB302" s="1">
        <f t="shared" si="46"/>
        <v>0</v>
      </c>
      <c r="AF302" s="1">
        <f t="shared" si="49"/>
        <v>0.58960967546257292</v>
      </c>
      <c r="AH302" s="1">
        <f t="shared" si="50"/>
        <v>58.960967546257294</v>
      </c>
      <c r="AJ302" s="1">
        <f t="shared" si="51"/>
        <v>176.35384111542555</v>
      </c>
      <c r="AL302" s="1">
        <f t="shared" si="52"/>
        <v>176.35384111542555</v>
      </c>
      <c r="AN302" s="1">
        <f t="shared" si="53"/>
        <v>0.17635384111542557</v>
      </c>
    </row>
    <row r="303" spans="2:40" x14ac:dyDescent="0.25">
      <c r="B303" s="1">
        <f t="shared" si="47"/>
        <v>1870</v>
      </c>
      <c r="D303" s="1">
        <f t="shared" si="48"/>
        <v>0.9871245075870233</v>
      </c>
      <c r="F303" s="1">
        <f t="shared" si="38"/>
        <v>-0.17459831105919116</v>
      </c>
      <c r="I303" s="1">
        <f t="shared" si="39"/>
        <v>1.1950293201148294</v>
      </c>
      <c r="L303" s="1">
        <f t="shared" si="40"/>
        <v>6.5145577619877431</v>
      </c>
      <c r="N303" s="1">
        <f t="shared" si="41"/>
        <v>3.1720613446584573E-20</v>
      </c>
      <c r="P303" s="1">
        <f t="shared" si="42"/>
        <v>7.0211405789387895E-82</v>
      </c>
      <c r="R303" s="1">
        <f t="shared" si="43"/>
        <v>2.8201299124558648E-22</v>
      </c>
      <c r="U303" s="1">
        <f t="shared" si="44"/>
        <v>1.0406112877297279E+98</v>
      </c>
      <c r="Y303" s="1">
        <f t="shared" si="45"/>
        <v>0</v>
      </c>
      <c r="AB303" s="1">
        <f t="shared" si="46"/>
        <v>0</v>
      </c>
      <c r="AF303" s="1">
        <f t="shared" si="49"/>
        <v>0.58982136458520307</v>
      </c>
      <c r="AH303" s="1">
        <f t="shared" si="50"/>
        <v>58.982136458520309</v>
      </c>
      <c r="AJ303" s="1">
        <f t="shared" si="51"/>
        <v>176.41715790185532</v>
      </c>
      <c r="AL303" s="1">
        <f t="shared" si="52"/>
        <v>176.41715790185532</v>
      </c>
      <c r="AN303" s="1">
        <f t="shared" si="53"/>
        <v>0.17641715790185533</v>
      </c>
    </row>
    <row r="304" spans="2:40" x14ac:dyDescent="0.25">
      <c r="B304" s="1">
        <f t="shared" si="47"/>
        <v>1880</v>
      </c>
      <c r="D304" s="1">
        <f t="shared" si="48"/>
        <v>0.98705610222892048</v>
      </c>
      <c r="F304" s="1">
        <f t="shared" si="38"/>
        <v>-0.17506452900811426</v>
      </c>
      <c r="I304" s="1">
        <f t="shared" si="39"/>
        <v>1.1955395541033578</v>
      </c>
      <c r="L304" s="1">
        <f t="shared" si="40"/>
        <v>6.4962775148801315</v>
      </c>
      <c r="N304" s="1">
        <f t="shared" si="41"/>
        <v>4.0348541202329147E-20</v>
      </c>
      <c r="P304" s="1">
        <f t="shared" si="42"/>
        <v>1.8235380077264238E-81</v>
      </c>
      <c r="R304" s="1">
        <f t="shared" si="43"/>
        <v>3.5862378297673737E-22</v>
      </c>
      <c r="U304" s="1">
        <f t="shared" si="44"/>
        <v>1.0406112877297279E+98</v>
      </c>
      <c r="Y304" s="1">
        <f t="shared" si="45"/>
        <v>0</v>
      </c>
      <c r="AB304" s="1">
        <f t="shared" si="46"/>
        <v>0</v>
      </c>
      <c r="AF304" s="1">
        <f t="shared" si="49"/>
        <v>0.59003230616688096</v>
      </c>
      <c r="AH304" s="1">
        <f t="shared" si="50"/>
        <v>59.003230616688093</v>
      </c>
      <c r="AJ304" s="1">
        <f t="shared" si="51"/>
        <v>176.48025109677394</v>
      </c>
      <c r="AL304" s="1">
        <f t="shared" si="52"/>
        <v>176.48025109677394</v>
      </c>
      <c r="AN304" s="1">
        <f t="shared" si="53"/>
        <v>0.17648025109677395</v>
      </c>
    </row>
    <row r="305" spans="2:40" x14ac:dyDescent="0.25">
      <c r="B305" s="1">
        <f t="shared" si="47"/>
        <v>1890</v>
      </c>
      <c r="D305" s="1">
        <f t="shared" si="48"/>
        <v>0.9869877016111448</v>
      </c>
      <c r="F305" s="1">
        <f t="shared" si="38"/>
        <v>-0.17552950865579181</v>
      </c>
      <c r="I305" s="1">
        <f t="shared" si="39"/>
        <v>1.1960483499312566</v>
      </c>
      <c r="L305" s="1">
        <f t="shared" si="40"/>
        <v>6.478140074932992</v>
      </c>
      <c r="N305" s="1">
        <f t="shared" si="41"/>
        <v>5.1193421514515977E-20</v>
      </c>
      <c r="P305" s="1">
        <f t="shared" si="42"/>
        <v>4.6885725120310519E-81</v>
      </c>
      <c r="R305" s="1">
        <f t="shared" si="43"/>
        <v>4.5489288406504783E-22</v>
      </c>
      <c r="U305" s="1">
        <f t="shared" si="44"/>
        <v>1.0406112877297279E+98</v>
      </c>
      <c r="Y305" s="1">
        <f t="shared" si="45"/>
        <v>0</v>
      </c>
      <c r="AB305" s="1">
        <f t="shared" si="46"/>
        <v>0</v>
      </c>
      <c r="AF305" s="1">
        <f t="shared" si="49"/>
        <v>0.5902425059572266</v>
      </c>
      <c r="AH305" s="1">
        <f t="shared" si="50"/>
        <v>59.024250595722663</v>
      </c>
      <c r="AJ305" s="1">
        <f t="shared" si="51"/>
        <v>176.54312241990823</v>
      </c>
      <c r="AL305" s="1">
        <f t="shared" si="52"/>
        <v>176.54312241990823</v>
      </c>
      <c r="AN305" s="1">
        <f t="shared" si="53"/>
        <v>0.17654312241990824</v>
      </c>
    </row>
    <row r="306" spans="2:40" x14ac:dyDescent="0.25">
      <c r="B306" s="1">
        <f t="shared" si="47"/>
        <v>1900</v>
      </c>
      <c r="D306" s="1">
        <f t="shared" si="48"/>
        <v>0.98691930573336772</v>
      </c>
      <c r="F306" s="1">
        <f t="shared" si="38"/>
        <v>-0.17599325981711489</v>
      </c>
      <c r="I306" s="1">
        <f t="shared" si="39"/>
        <v>1.1965557187918492</v>
      </c>
      <c r="L306" s="1">
        <f t="shared" si="40"/>
        <v>6.4601435671214666</v>
      </c>
      <c r="N306" s="1">
        <f t="shared" si="41"/>
        <v>6.4791475511564246E-20</v>
      </c>
      <c r="P306" s="1">
        <f t="shared" si="42"/>
        <v>1.1935875157304838E-80</v>
      </c>
      <c r="R306" s="1">
        <f t="shared" si="43"/>
        <v>5.7556796979908228E-22</v>
      </c>
      <c r="U306" s="1">
        <f t="shared" si="44"/>
        <v>1.0406112877297279E+98</v>
      </c>
      <c r="Y306" s="1">
        <f t="shared" si="45"/>
        <v>0</v>
      </c>
      <c r="AB306" s="1">
        <f t="shared" si="46"/>
        <v>0</v>
      </c>
      <c r="AF306" s="1">
        <f t="shared" si="49"/>
        <v>0.59045196963067126</v>
      </c>
      <c r="AH306" s="1">
        <f t="shared" si="50"/>
        <v>59.045196963067127</v>
      </c>
      <c r="AJ306" s="1">
        <f t="shared" si="51"/>
        <v>176.60577356849586</v>
      </c>
      <c r="AL306" s="1">
        <f t="shared" si="52"/>
        <v>176.60577356849586</v>
      </c>
      <c r="AN306" s="1">
        <f t="shared" si="53"/>
        <v>0.17660577356849586</v>
      </c>
    </row>
    <row r="307" spans="2:40" x14ac:dyDescent="0.25">
      <c r="B307" s="1">
        <f t="shared" si="47"/>
        <v>1910</v>
      </c>
      <c r="D307" s="1">
        <f t="shared" si="48"/>
        <v>0.98685091459526075</v>
      </c>
      <c r="F307" s="1">
        <f t="shared" si="38"/>
        <v>-0.17645579217799939</v>
      </c>
      <c r="I307" s="1">
        <f t="shared" si="39"/>
        <v>1.1970616717320144</v>
      </c>
      <c r="L307" s="1">
        <f t="shared" si="40"/>
        <v>6.4422861507738869</v>
      </c>
      <c r="N307" s="1">
        <f t="shared" si="41"/>
        <v>8.1800498689855645E-20</v>
      </c>
      <c r="P307" s="1">
        <f t="shared" si="42"/>
        <v>3.0090084725105329E-80</v>
      </c>
      <c r="R307" s="1">
        <f t="shared" si="43"/>
        <v>7.264713360023262E-22</v>
      </c>
      <c r="U307" s="1">
        <f t="shared" si="44"/>
        <v>1.0406112877297279E+98</v>
      </c>
      <c r="Y307" s="1">
        <f t="shared" si="45"/>
        <v>0</v>
      </c>
      <c r="AB307" s="1">
        <f t="shared" si="46"/>
        <v>0</v>
      </c>
      <c r="AF307" s="1">
        <f t="shared" si="49"/>
        <v>0.59066070278783511</v>
      </c>
      <c r="AH307" s="1">
        <f t="shared" si="50"/>
        <v>59.066070278783513</v>
      </c>
      <c r="AJ307" s="1">
        <f t="shared" si="51"/>
        <v>176.66820621769742</v>
      </c>
      <c r="AL307" s="1">
        <f t="shared" si="52"/>
        <v>176.66820621769742</v>
      </c>
      <c r="AN307" s="1">
        <f t="shared" si="53"/>
        <v>0.17666820621769741</v>
      </c>
    </row>
    <row r="308" spans="2:40" x14ac:dyDescent="0.25">
      <c r="B308" s="1">
        <f t="shared" si="47"/>
        <v>1920</v>
      </c>
      <c r="D308" s="1">
        <f t="shared" si="48"/>
        <v>0.98678252819649537</v>
      </c>
      <c r="F308" s="1">
        <f t="shared" si="38"/>
        <v>-0.17691711529774648</v>
      </c>
      <c r="I308" s="1">
        <f t="shared" si="39"/>
        <v>1.1975662196548622</v>
      </c>
      <c r="L308" s="1">
        <f t="shared" si="40"/>
        <v>6.4245660187662326</v>
      </c>
      <c r="N308" s="1">
        <f t="shared" si="41"/>
        <v>1.0302556831796186E-19</v>
      </c>
      <c r="P308" s="1">
        <f t="shared" si="42"/>
        <v>7.5130167112058247E-80</v>
      </c>
      <c r="R308" s="1">
        <f t="shared" si="43"/>
        <v>9.1472670765823924E-22</v>
      </c>
      <c r="U308" s="1">
        <f t="shared" si="44"/>
        <v>1.0406112877297279E+98</v>
      </c>
      <c r="Y308" s="1">
        <f t="shared" si="45"/>
        <v>0</v>
      </c>
      <c r="AB308" s="1">
        <f t="shared" si="46"/>
        <v>0</v>
      </c>
      <c r="AF308" s="1">
        <f t="shared" si="49"/>
        <v>0.59086871095687221</v>
      </c>
      <c r="AH308" s="1">
        <f t="shared" si="50"/>
        <v>59.086871095687222</v>
      </c>
      <c r="AJ308" s="1">
        <f t="shared" si="51"/>
        <v>176.73042202099865</v>
      </c>
      <c r="AL308" s="1">
        <f t="shared" si="52"/>
        <v>176.73042202099865</v>
      </c>
      <c r="AN308" s="1">
        <f t="shared" si="53"/>
        <v>0.17673042202099865</v>
      </c>
    </row>
    <row r="309" spans="2:40" x14ac:dyDescent="0.25">
      <c r="B309" s="1">
        <f t="shared" si="47"/>
        <v>1930</v>
      </c>
      <c r="D309" s="1">
        <f t="shared" si="48"/>
        <v>0.98671414653674316</v>
      </c>
      <c r="F309" s="1">
        <f t="shared" ref="F309:F317" si="54">($M$18-$M$14-($I$36*B309))/POWER(4*$S$36*B309,0.5)</f>
        <v>-0.1773772386113476</v>
      </c>
      <c r="I309" s="1">
        <f t="shared" ref="I309:I317" si="55">IF(F309&gt;0,ERFC(IF(F309&lt;27,F309,27)),1+ERF(IF(-F309&lt;27,-F309,27)))</f>
        <v>1.1980693733223466</v>
      </c>
      <c r="L309" s="1">
        <f t="shared" ref="L309:L317" si="56">($M$18-(B309*$I$36))/POWER(4*$S$36*B309,0.5)</f>
        <v>6.4069813967395657</v>
      </c>
      <c r="N309" s="1">
        <f t="shared" ref="N309:N317" si="57">IF(L309&gt;0,ERFC(IF(L309&lt;27,L309,27)),1+ERF(IF(-L309&lt;27,-L309,27)))</f>
        <v>1.2944978942964181E-19</v>
      </c>
      <c r="P309" s="1">
        <f t="shared" ref="P309:P317" si="58">IF(($M$18+$M$14+$I$36*B309)/POWER(4*$S$36*B309,0.5)&gt;27,ERFC(27),ERFC(($M$18+$M$14+$I$36*B309)/POWER(4*$S$36*B309,0.5)))</f>
        <v>1.8581981180682989E-79</v>
      </c>
      <c r="R309" s="1">
        <f t="shared" ref="R309:R317" si="59">IF(($M$18+$I$36*B309)/(POWER(4*$S$36*B309,0.5))&gt;27,ERFC(27),ERFC(($M$18+$I$36*B309)/(POWER(4*$S$36*B309,0.5))))</f>
        <v>1.1490304071518783E-21</v>
      </c>
      <c r="U309" s="1">
        <f t="shared" ref="U309:U317" si="60">(2+$I$36/$C$42)*EXP(IF(($C$42*($C$42+$I$36)*B309+($C$42+$I$36)*$M$18)/$S$36&gt;225,225,($C$42*($C$42+$I$36)*B309+($C$42+$I$36)*$M$18)/$S$36))</f>
        <v>1.0406112877297279E+98</v>
      </c>
      <c r="Y309" s="1">
        <f t="shared" ref="Y309:Y317" si="61">IF(($M$18+((2*$C$42+$I$36)*B309))/POWER(4*$S$36*B309,0.5)&gt;27,ERFC(27),ERFC(($M$18+((2*$C$42+$I$36)*B309))/POWER(4*$S$36*B309,0.5)))</f>
        <v>0</v>
      </c>
      <c r="AB309" s="1">
        <f t="shared" ref="AB309:AB317" si="62">IF(($M$18+$M$14+((2*$C$42+$I$36)*B309))/POWER(4*$S$36*B309,0.5)&gt;27,ERFC(27),ERFC(($M$18+$M$14+((2*$C$42+$I$36)*B309))/POWER(4*$S$36*B309,0.5)))</f>
        <v>0</v>
      </c>
      <c r="AF309" s="1">
        <f t="shared" si="49"/>
        <v>0.59107599959478496</v>
      </c>
      <c r="AH309" s="1">
        <f t="shared" si="50"/>
        <v>59.107599959478499</v>
      </c>
      <c r="AJ309" s="1">
        <f t="shared" si="51"/>
        <v>176.79242261060364</v>
      </c>
      <c r="AL309" s="1">
        <f t="shared" si="52"/>
        <v>176.79242261060364</v>
      </c>
      <c r="AN309" s="1">
        <f t="shared" si="53"/>
        <v>0.17679242261060366</v>
      </c>
    </row>
    <row r="310" spans="2:40" x14ac:dyDescent="0.25">
      <c r="B310" s="1">
        <f t="shared" ref="B310:B317" si="63">B309+$M$20</f>
        <v>1940</v>
      </c>
      <c r="D310" s="1">
        <f t="shared" ref="D310:D317" si="64">EXP(-0.693/$M$6*B310)</f>
        <v>0.98664576961567585</v>
      </c>
      <c r="F310" s="1">
        <f t="shared" si="54"/>
        <v>-0.17783617143173588</v>
      </c>
      <c r="I310" s="1">
        <f t="shared" si="55"/>
        <v>1.1985711433578172</v>
      </c>
      <c r="L310" s="1">
        <f t="shared" si="56"/>
        <v>6.3895305423396609</v>
      </c>
      <c r="N310" s="1">
        <f t="shared" si="57"/>
        <v>1.6227098770030812E-19</v>
      </c>
      <c r="P310" s="1">
        <f t="shared" si="58"/>
        <v>4.5532340097335422E-79</v>
      </c>
      <c r="R310" s="1">
        <f t="shared" si="59"/>
        <v>1.4399748591260242E-21</v>
      </c>
      <c r="U310" s="1">
        <f t="shared" si="60"/>
        <v>1.0406112877297279E+98</v>
      </c>
      <c r="Y310" s="1">
        <f t="shared" si="61"/>
        <v>0</v>
      </c>
      <c r="AB310" s="1">
        <f t="shared" si="62"/>
        <v>0</v>
      </c>
      <c r="AF310" s="1">
        <f t="shared" ref="AF310:AF317" si="65">0.5*D310*((I310-N310)+($Q$44)*(P310-R310)+U310*(Y310-($Q$84*AB310)))</f>
        <v>0.5912825740887071</v>
      </c>
      <c r="AH310" s="1">
        <f t="shared" ref="AH310:AH317" si="66">$M$4*AF310</f>
        <v>59.128257408870709</v>
      </c>
      <c r="AJ310" s="1">
        <f t="shared" ref="AJ310:AJ317" si="67">AF310*$M$25</f>
        <v>176.85420959781865</v>
      </c>
      <c r="AL310" s="1">
        <f t="shared" ref="AL310:AL317" si="68">AF310*$M$27</f>
        <v>176.85420959781865</v>
      </c>
      <c r="AN310" s="1">
        <f t="shared" ref="AN310:AN317" si="69">AF310*$M$28</f>
        <v>0.17685420959781864</v>
      </c>
    </row>
    <row r="311" spans="2:40" x14ac:dyDescent="0.25">
      <c r="B311" s="1">
        <f t="shared" si="63"/>
        <v>1950</v>
      </c>
      <c r="D311" s="1">
        <f t="shared" si="64"/>
        <v>0.98657739743296502</v>
      </c>
      <c r="F311" s="1">
        <f t="shared" si="54"/>
        <v>-0.17829392295198557</v>
      </c>
      <c r="I311" s="1">
        <f t="shared" si="55"/>
        <v>1.1990715402485121</v>
      </c>
      <c r="L311" s="1">
        <f t="shared" si="56"/>
        <v>6.3722117444781086</v>
      </c>
      <c r="N311" s="1">
        <f t="shared" si="57"/>
        <v>2.0294540659217058E-19</v>
      </c>
      <c r="P311" s="1">
        <f t="shared" si="58"/>
        <v>1.1055044469885437E-78</v>
      </c>
      <c r="R311" s="1">
        <f t="shared" si="59"/>
        <v>1.8004337145275126E-21</v>
      </c>
      <c r="U311" s="1">
        <f t="shared" si="60"/>
        <v>1.0406112877297279E+98</v>
      </c>
      <c r="Y311" s="1">
        <f t="shared" si="61"/>
        <v>0</v>
      </c>
      <c r="AB311" s="1">
        <f t="shared" si="62"/>
        <v>0</v>
      </c>
      <c r="AF311" s="1">
        <f t="shared" si="65"/>
        <v>0.59148843975715693</v>
      </c>
      <c r="AH311" s="1">
        <f t="shared" si="66"/>
        <v>59.148843975715693</v>
      </c>
      <c r="AJ311" s="1">
        <f t="shared" si="67"/>
        <v>176.91578457342675</v>
      </c>
      <c r="AL311" s="1">
        <f t="shared" si="68"/>
        <v>176.91578457342675</v>
      </c>
      <c r="AN311" s="1">
        <f t="shared" si="69"/>
        <v>0.17691578457342677</v>
      </c>
    </row>
    <row r="312" spans="2:40" x14ac:dyDescent="0.25">
      <c r="B312" s="1">
        <f t="shared" si="63"/>
        <v>1960</v>
      </c>
      <c r="D312" s="1">
        <f t="shared" si="64"/>
        <v>0.98650902998828227</v>
      </c>
      <c r="F312" s="1">
        <f t="shared" si="54"/>
        <v>-0.1787505022474605</v>
      </c>
      <c r="I312" s="1">
        <f t="shared" si="55"/>
        <v>1.1995705743479936</v>
      </c>
      <c r="L312" s="1">
        <f t="shared" si="56"/>
        <v>6.3550233226141613</v>
      </c>
      <c r="N312" s="1">
        <f t="shared" si="57"/>
        <v>2.5323963722665858E-19</v>
      </c>
      <c r="P312" s="1">
        <f t="shared" si="58"/>
        <v>2.6599568237498147E-78</v>
      </c>
      <c r="R312" s="1">
        <f t="shared" si="59"/>
        <v>2.2460193738220942E-21</v>
      </c>
      <c r="U312" s="1">
        <f t="shared" si="60"/>
        <v>1.0406112877297279E+98</v>
      </c>
      <c r="Y312" s="1">
        <f t="shared" si="61"/>
        <v>0</v>
      </c>
      <c r="AB312" s="1">
        <f t="shared" si="62"/>
        <v>0</v>
      </c>
      <c r="AF312" s="1">
        <f t="shared" si="65"/>
        <v>0.59169360185126296</v>
      </c>
      <c r="AH312" s="1">
        <f t="shared" si="66"/>
        <v>59.169360185126294</v>
      </c>
      <c r="AJ312" s="1">
        <f t="shared" si="67"/>
        <v>176.97714910805468</v>
      </c>
      <c r="AL312" s="1">
        <f t="shared" si="68"/>
        <v>176.97714910805468</v>
      </c>
      <c r="AN312" s="1">
        <f t="shared" si="69"/>
        <v>0.1769771491080547</v>
      </c>
    </row>
    <row r="313" spans="2:40" x14ac:dyDescent="0.25">
      <c r="B313" s="1">
        <f t="shared" si="63"/>
        <v>1970</v>
      </c>
      <c r="D313" s="1">
        <f t="shared" si="64"/>
        <v>0.9864406672812992</v>
      </c>
      <c r="F313" s="1">
        <f t="shared" si="54"/>
        <v>-0.17920591827791346</v>
      </c>
      <c r="I313" s="1">
        <f t="shared" si="55"/>
        <v>1.2000682558785274</v>
      </c>
      <c r="L313" s="1">
        <f t="shared" si="56"/>
        <v>6.3379636260566485</v>
      </c>
      <c r="N313" s="1">
        <f t="shared" si="57"/>
        <v>3.1529220535444808E-19</v>
      </c>
      <c r="P313" s="1">
        <f t="shared" si="58"/>
        <v>6.3433987997080731E-78</v>
      </c>
      <c r="R313" s="1">
        <f t="shared" si="59"/>
        <v>2.7956254033860608E-21</v>
      </c>
      <c r="U313" s="1">
        <f t="shared" si="60"/>
        <v>1.0406112877297279E+98</v>
      </c>
      <c r="Y313" s="1">
        <f t="shared" si="61"/>
        <v>0</v>
      </c>
      <c r="AB313" s="1">
        <f t="shared" si="62"/>
        <v>0</v>
      </c>
      <c r="AF313" s="1">
        <f t="shared" si="65"/>
        <v>0.5918980655559597</v>
      </c>
      <c r="AH313" s="1">
        <f t="shared" si="66"/>
        <v>59.189806555595972</v>
      </c>
      <c r="AJ313" s="1">
        <f t="shared" si="67"/>
        <v>177.03830475253028</v>
      </c>
      <c r="AL313" s="1">
        <f t="shared" si="68"/>
        <v>177.03830475253028</v>
      </c>
      <c r="AN313" s="1">
        <f t="shared" si="69"/>
        <v>0.1770383047525303</v>
      </c>
    </row>
    <row r="314" spans="2:40" x14ac:dyDescent="0.25">
      <c r="B314" s="1">
        <f t="shared" si="63"/>
        <v>1980</v>
      </c>
      <c r="D314" s="1">
        <f t="shared" si="64"/>
        <v>0.98637230931168762</v>
      </c>
      <c r="F314" s="1">
        <f t="shared" si="54"/>
        <v>-0.17966017988953761</v>
      </c>
      <c r="I314" s="1">
        <f t="shared" si="55"/>
        <v>1.2005645949334085</v>
      </c>
      <c r="L314" s="1">
        <f t="shared" si="56"/>
        <v>6.3210310332852915</v>
      </c>
      <c r="N314" s="1">
        <f t="shared" si="57"/>
        <v>3.9168646371617429E-19</v>
      </c>
      <c r="P314" s="1">
        <f t="shared" si="58"/>
        <v>1.4995513311763654E-77</v>
      </c>
      <c r="R314" s="1">
        <f t="shared" si="59"/>
        <v>3.4720682972880115E-21</v>
      </c>
      <c r="U314" s="1">
        <f t="shared" si="60"/>
        <v>1.0406112877297279E+98</v>
      </c>
      <c r="Y314" s="1">
        <f t="shared" si="61"/>
        <v>0</v>
      </c>
      <c r="AB314" s="1">
        <f t="shared" si="62"/>
        <v>0</v>
      </c>
      <c r="AF314" s="1">
        <f t="shared" si="65"/>
        <v>0.59210183599115851</v>
      </c>
      <c r="AH314" s="1">
        <f t="shared" si="66"/>
        <v>59.210183599115851</v>
      </c>
      <c r="AJ314" s="1">
        <f t="shared" si="67"/>
        <v>177.09925303823283</v>
      </c>
      <c r="AL314" s="1">
        <f t="shared" si="68"/>
        <v>177.09925303823283</v>
      </c>
      <c r="AN314" s="1">
        <f t="shared" si="69"/>
        <v>0.17709925303823285</v>
      </c>
    </row>
    <row r="315" spans="2:40" x14ac:dyDescent="0.25">
      <c r="B315" s="1">
        <f t="shared" si="63"/>
        <v>1990</v>
      </c>
      <c r="D315" s="1">
        <f t="shared" si="64"/>
        <v>0.98630395607911914</v>
      </c>
      <c r="F315" s="1">
        <f t="shared" si="54"/>
        <v>-0.18011329581697136</v>
      </c>
      <c r="I315" s="1">
        <f t="shared" si="55"/>
        <v>1.2010596014792339</v>
      </c>
      <c r="L315" s="1">
        <f t="shared" si="56"/>
        <v>6.3042239512907923</v>
      </c>
      <c r="N315" s="1">
        <f t="shared" si="57"/>
        <v>4.8553669353846767E-19</v>
      </c>
      <c r="P315" s="1">
        <f t="shared" si="58"/>
        <v>3.514389810089185E-77</v>
      </c>
      <c r="R315" s="1">
        <f t="shared" si="59"/>
        <v>4.3028452695717784E-21</v>
      </c>
      <c r="U315" s="1">
        <f t="shared" si="60"/>
        <v>1.0406112877297279E+98</v>
      </c>
      <c r="Y315" s="1">
        <f t="shared" si="61"/>
        <v>0</v>
      </c>
      <c r="AB315" s="1">
        <f t="shared" si="62"/>
        <v>0</v>
      </c>
      <c r="AF315" s="1">
        <f t="shared" si="65"/>
        <v>0.59230491821288933</v>
      </c>
      <c r="AH315" s="1">
        <f t="shared" si="66"/>
        <v>59.230491821288936</v>
      </c>
      <c r="AJ315" s="1">
        <f t="shared" si="67"/>
        <v>177.15999547743445</v>
      </c>
      <c r="AL315" s="1">
        <f t="shared" si="68"/>
        <v>177.15999547743445</v>
      </c>
      <c r="AN315" s="1">
        <f t="shared" si="69"/>
        <v>0.17715999547743447</v>
      </c>
    </row>
    <row r="316" spans="2:40" x14ac:dyDescent="0.25">
      <c r="B316" s="1">
        <f t="shared" si="63"/>
        <v>2000</v>
      </c>
      <c r="D316" s="1">
        <f t="shared" si="64"/>
        <v>0.98623560758326567</v>
      </c>
      <c r="F316" s="1">
        <f t="shared" si="54"/>
        <v>-0.1805652746852579</v>
      </c>
      <c r="I316" s="1">
        <f t="shared" si="55"/>
        <v>1.2015532853581234</v>
      </c>
      <c r="L316" s="1">
        <f t="shared" si="56"/>
        <v>6.287540814933088</v>
      </c>
      <c r="N316" s="1">
        <f t="shared" si="57"/>
        <v>6.0058960978434721E-19</v>
      </c>
      <c r="P316" s="1">
        <f t="shared" si="58"/>
        <v>8.1666516691523413E-77</v>
      </c>
      <c r="R316" s="1">
        <f t="shared" si="59"/>
        <v>5.3210273035095444E-21</v>
      </c>
      <c r="U316" s="1">
        <f t="shared" si="60"/>
        <v>1.0406112877297279E+98</v>
      </c>
      <c r="Y316" s="1">
        <f t="shared" si="61"/>
        <v>0</v>
      </c>
      <c r="AB316" s="1">
        <f t="shared" si="62"/>
        <v>0</v>
      </c>
      <c r="AF316" s="1">
        <f t="shared" si="65"/>
        <v>0.59250731721441896</v>
      </c>
      <c r="AH316" s="1">
        <f t="shared" si="66"/>
        <v>59.250731721441895</v>
      </c>
      <c r="AJ316" s="1">
        <f t="shared" si="67"/>
        <v>177.22053356363475</v>
      </c>
      <c r="AL316" s="1">
        <f t="shared" si="68"/>
        <v>177.22053356363475</v>
      </c>
      <c r="AN316" s="1">
        <f t="shared" si="69"/>
        <v>0.17722053356363476</v>
      </c>
    </row>
    <row r="317" spans="2:40" x14ac:dyDescent="0.25">
      <c r="B317" s="1">
        <f t="shared" si="63"/>
        <v>2010</v>
      </c>
      <c r="D317" s="1">
        <f t="shared" si="64"/>
        <v>0.98616726382379871</v>
      </c>
      <c r="F317" s="1">
        <f t="shared" si="54"/>
        <v>-0.1810161250117609</v>
      </c>
      <c r="I317" s="1">
        <f t="shared" si="55"/>
        <v>1.2020456562898922</v>
      </c>
      <c r="L317" s="1">
        <f t="shared" si="56"/>
        <v>6.2709800863171736</v>
      </c>
      <c r="N317" s="1">
        <f t="shared" si="57"/>
        <v>7.4134379537601832E-19</v>
      </c>
      <c r="P317" s="1">
        <f t="shared" si="58"/>
        <v>1.8819095861467541E-76</v>
      </c>
      <c r="R317" s="1">
        <f t="shared" si="59"/>
        <v>6.5663095713880427E-21</v>
      </c>
      <c r="U317" s="1">
        <f t="shared" si="60"/>
        <v>1.0406112877297279E+98</v>
      </c>
      <c r="Y317" s="1">
        <f t="shared" si="61"/>
        <v>0</v>
      </c>
      <c r="AB317" s="1">
        <f t="shared" si="62"/>
        <v>0</v>
      </c>
      <c r="AF317" s="1">
        <f t="shared" si="65"/>
        <v>0.59270903792734275</v>
      </c>
      <c r="AH317" s="1">
        <f t="shared" si="66"/>
        <v>59.270903792734273</v>
      </c>
      <c r="AJ317" s="1">
        <f t="shared" si="67"/>
        <v>177.28086877188713</v>
      </c>
      <c r="AL317" s="1">
        <f t="shared" si="68"/>
        <v>177.28086877188713</v>
      </c>
      <c r="AN317" s="1">
        <f t="shared" si="69"/>
        <v>0.17728086877188715</v>
      </c>
    </row>
  </sheetData>
  <phoneticPr fontId="15" type="noConversion"/>
  <pageMargins left="0.75" right="0.75" top="1" bottom="1" header="0.5" footer="0.5"/>
  <pageSetup paperSize="119" scale="46"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R93"/>
  <sheetViews>
    <sheetView view="pageBreakPreview" zoomScale="25" zoomScaleNormal="40" zoomScaleSheetLayoutView="25" workbookViewId="0">
      <selection activeCell="N17" sqref="N17"/>
    </sheetView>
  </sheetViews>
  <sheetFormatPr defaultColWidth="9.21875" defaultRowHeight="13.2" x14ac:dyDescent="0.25"/>
  <cols>
    <col min="1" max="16384" width="9.21875" style="1"/>
  </cols>
  <sheetData>
    <row r="1" spans="1:10" x14ac:dyDescent="0.25">
      <c r="A1" s="8">
        <v>39753</v>
      </c>
    </row>
    <row r="3" spans="1:10" x14ac:dyDescent="0.25">
      <c r="D3" s="1" t="s">
        <v>154</v>
      </c>
    </row>
    <row r="5" spans="1:10" x14ac:dyDescent="0.25">
      <c r="F5" s="17" t="str">
        <f>IF('Alt-GPL Calc for VOCs'!$I$13&gt;IntercalsJury1!$M$30*1000,"Warning: Input soil concentration exceeds maximum allowed"," ")</f>
        <v xml:space="preserve"> </v>
      </c>
      <c r="G5" s="17"/>
      <c r="H5" s="17"/>
      <c r="I5" s="17"/>
      <c r="J5" s="17"/>
    </row>
    <row r="20" spans="6:18" x14ac:dyDescent="0.25">
      <c r="R20" s="32"/>
    </row>
    <row r="27" spans="6:18" x14ac:dyDescent="0.25">
      <c r="F27" s="17" t="str">
        <f>IF('Alt-GPL Calc for VOCs'!$I$13&gt;IntercalsJury1!$M$30*1000,"Warning: Input soil concentration exceeds maximum allowed"," ")</f>
        <v xml:space="preserve"> </v>
      </c>
    </row>
    <row r="48" spans="6:6" x14ac:dyDescent="0.25">
      <c r="F48" s="17" t="str">
        <f>IF('Alt-GPL Calc for VOCs'!$I$13&gt;IntercalsJury1!$M$30*1000,"Warning: Input soil concentration exceeds maximum allowed"," ")</f>
        <v xml:space="preserve"> </v>
      </c>
    </row>
    <row r="63" spans="12:12" x14ac:dyDescent="0.25">
      <c r="L63" s="1" t="s">
        <v>246</v>
      </c>
    </row>
    <row r="69" spans="6:6" x14ac:dyDescent="0.25">
      <c r="F69" s="17" t="str">
        <f>IF('Alt-GPL Calc for VOCs'!$I$13&gt;IntercalsJury1!$M$30*1000,"Warning: Input soil concentration exceeds maximum allowed"," ")</f>
        <v xml:space="preserve"> </v>
      </c>
    </row>
    <row r="90" spans="6:14" x14ac:dyDescent="0.25">
      <c r="F90" s="17" t="str">
        <f>IF('Alt-GPL Calc for VOCs'!$I$13&gt;IntercalsJury1!$M$30*1000,"Warning: Input soil concentration exceeds maximum allowed"," ")</f>
        <v xml:space="preserve"> </v>
      </c>
    </row>
    <row r="93" spans="6:14" x14ac:dyDescent="0.25">
      <c r="N93" s="1" t="s">
        <v>152</v>
      </c>
    </row>
  </sheetData>
  <phoneticPr fontId="15" type="noConversion"/>
  <pageMargins left="0.75" right="0.75" top="1" bottom="1" header="0.5" footer="0.5"/>
  <pageSetup orientation="landscape" horizontalDpi="1200" verticalDpi="1200" r:id="rId1"/>
  <headerFooter alignWithMargins="0"/>
  <rowBreaks count="4" manualBreakCount="4">
    <brk id="26" max="10" man="1"/>
    <brk id="49" max="10" man="1"/>
    <brk id="71" max="10" man="1"/>
    <brk id="9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Minimum GPL for VOCs</vt:lpstr>
      <vt:lpstr>Default GPL Metals</vt:lpstr>
      <vt:lpstr>Alt-GPL Calc for VOCs</vt:lpstr>
      <vt:lpstr>Alt-GPL Calc for Metals</vt:lpstr>
      <vt:lpstr>Soil Phase Partitioning Calc</vt:lpstr>
      <vt:lpstr>Lookup Table</vt:lpstr>
      <vt:lpstr>IntercalsJury1</vt:lpstr>
      <vt:lpstr>OutputJury1</vt:lpstr>
      <vt:lpstr>GPL</vt:lpstr>
      <vt:lpstr>IntercalcsJury2</vt:lpstr>
      <vt:lpstr>OutputJury 2</vt:lpstr>
      <vt:lpstr>chemical2</vt:lpstr>
      <vt:lpstr>'Alt-GPL Calc for Metals'!Print_Area</vt:lpstr>
      <vt:lpstr>'Alt-GPL Calc for VOCs'!Print_Area</vt:lpstr>
      <vt:lpstr>'Default GPL Metals'!Print_Area</vt:lpstr>
      <vt:lpstr>GPL!Print_Area</vt:lpstr>
      <vt:lpstr>Instructions!Print_Area</vt:lpstr>
      <vt:lpstr>'Lookup Table'!Print_Area</vt:lpstr>
      <vt:lpstr>'Minimum GPL for VOCs'!Print_Area</vt:lpstr>
      <vt:lpstr>'OutputJury 2'!Print_Area</vt:lpstr>
      <vt:lpstr>OutputJury1!Print_Area</vt:lpstr>
      <vt:lpstr>soils2</vt:lpstr>
    </vt:vector>
  </TitlesOfParts>
  <Company>ADEQ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Olm;Kyle Johnson;Joey Pace</dc:creator>
  <cp:lastModifiedBy>Joey Pace</cp:lastModifiedBy>
  <cp:lastPrinted>2020-09-22T17:53:48Z</cp:lastPrinted>
  <dcterms:created xsi:type="dcterms:W3CDTF">2004-07-13T15:40:03Z</dcterms:created>
  <dcterms:modified xsi:type="dcterms:W3CDTF">2021-10-14T15:56:58Z</dcterms:modified>
</cp:coreProperties>
</file>